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Travis\Desktop\Files-1\Graduate Studies\PostDoc\Wild Blueberry Managment Tool\WB Tool - NS Edition\14 - Latest version - Nov, 2021\"/>
    </mc:Choice>
  </mc:AlternateContent>
  <xr:revisionPtr revIDLastSave="0" documentId="13_ncr:1_{305936DD-9E0A-4AE6-86BC-6E96511DE6CE}" xr6:coauthVersionLast="47" xr6:coauthVersionMax="47" xr10:uidLastSave="{00000000-0000-0000-0000-000000000000}"/>
  <workbookProtection workbookAlgorithmName="SHA-512" workbookHashValue="kG1kg2Zs3xs0fQxWAzmFvJ6VVtxCkgXcEb5d7CR7FxR42mXXkUJU+tkVdK+HLIm6BybVyWHVR1suE3d3f6Gyng==" workbookSaltValue="3B2TCsW775sSDjMGiILqBw==" workbookSpinCount="100000" lockStructure="1"/>
  <bookViews>
    <workbookView xWindow="-93" yWindow="-93" windowWidth="25786" windowHeight="13986" tabRatio="607" xr2:uid="{00000000-000D-0000-FFFF-FFFF00000000}"/>
  </bookViews>
  <sheets>
    <sheet name="Disclaimer" sheetId="7" r:id="rId1"/>
    <sheet name="Instructions" sheetId="2" r:id="rId2"/>
    <sheet name="User input" sheetId="1" r:id="rId3"/>
    <sheet name="Break even chart" sheetId="3" r:id="rId4"/>
    <sheet name="Price list" sheetId="4" r:id="rId5"/>
    <sheet name="Historical record" sheetId="9" r:id="rId6"/>
    <sheet name="Unit converter" sheetId="5" r:id="rId7"/>
    <sheet name="Acknowledgments" sheetId="6" r:id="rId8"/>
    <sheet name="Contact us" sheetId="8" r:id="rId9"/>
  </sheets>
  <definedNames>
    <definedName name="Acknowledgements">Acknowledgments!$A$1</definedName>
    <definedName name="Agrochemical_costs">'Price list'!$A$1</definedName>
    <definedName name="Break_even_charts">'Break even chart'!$A$1</definedName>
    <definedName name="Bumble_bee_quadss">'Price list'!$U$15:$U$23</definedName>
    <definedName name="contact_us">'Contact us'!$A$1</definedName>
    <definedName name="Fertilizer_input">'Price list'!$M$32:$M$32</definedName>
    <definedName name="Fertilizer_spreader_type">'Price list'!$M$23:$M$29</definedName>
    <definedName name="Field_input_costs">'Price list'!$BD$3:$BL$3</definedName>
    <definedName name="Fungicide_input">'Price list'!$M$17:$M$17</definedName>
    <definedName name="Harvester_ownership">'Price list'!$Y$9:$Y$21</definedName>
    <definedName name="Harvester_type">'Price list'!$Y$5:$Y$6</definedName>
    <definedName name="Herbicide_input">'Price list'!$M$14:$M$14</definedName>
    <definedName name="History">'Historical record'!$D$4</definedName>
    <definedName name="Insecticide_input">'Price list'!$M$20:$M$20</definedName>
    <definedName name="Instructions">Instructions!$A$1</definedName>
    <definedName name="min_med_max_agro_inputs">'Price list'!#REF!</definedName>
    <definedName name="Number_of_applications">'Price list'!$B$94:$B$99</definedName>
    <definedName name="Pollination_input">'Price list'!$U$4:$U$12</definedName>
    <definedName name="_xlnm.Print_Area" localSheetId="7">Acknowledgments!$B$3:$T$28</definedName>
    <definedName name="_xlnm.Print_Area" localSheetId="3">'Break even chart'!$A$3:$V$56</definedName>
    <definedName name="_xlnm.Print_Area" localSheetId="8">'Contact us'!$A$4:$N$15</definedName>
    <definedName name="_xlnm.Print_Area" localSheetId="0">Disclaimer!$A$2:$V$26</definedName>
    <definedName name="_xlnm.Print_Area" localSheetId="1">Instructions!$A$1:$T$93</definedName>
    <definedName name="_xlnm.Print_Area" localSheetId="4">'Price list'!$B$3:$BL$113</definedName>
    <definedName name="_xlnm.Print_Area" localSheetId="6">'Unit converter'!$B$3:$P$17</definedName>
    <definedName name="_xlnm.Print_Area" localSheetId="2">'User input'!$A$1:$Z$36</definedName>
    <definedName name="Pruning_method">'Price list'!$AF$24:$AF$30</definedName>
    <definedName name="Pruning_ownership">'Price list'!$AF$5:$AF$21</definedName>
    <definedName name="Sprayer_type">'Price list'!$M$5:$M$11</definedName>
    <definedName name="start">'User input'!$D$9</definedName>
    <definedName name="Trucking_type">'Price list'!$Y$62:$Y$69</definedName>
    <definedName name="Unit_converter">'Unit converter'!$A$1</definedName>
    <definedName name="Year">'Historical record'!$D$4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V13" i="9" l="1"/>
  <c r="V14" i="9" s="1"/>
  <c r="V12" i="9"/>
  <c r="T13" i="9"/>
  <c r="T14" i="9" s="1"/>
  <c r="T12" i="9"/>
  <c r="R13" i="9"/>
  <c r="R14" i="9" s="1"/>
  <c r="R12" i="9"/>
  <c r="P13" i="9"/>
  <c r="P14" i="9" s="1"/>
  <c r="P12" i="9"/>
  <c r="N13" i="9"/>
  <c r="N14" i="9" s="1"/>
  <c r="N12" i="9"/>
  <c r="L13" i="9"/>
  <c r="L14" i="9" s="1"/>
  <c r="L12" i="9"/>
  <c r="J13" i="9"/>
  <c r="J14" i="9" s="1"/>
  <c r="J12" i="9"/>
  <c r="H13" i="9"/>
  <c r="H14" i="9" s="1"/>
  <c r="H12" i="9"/>
  <c r="F13" i="9"/>
  <c r="F14" i="9" s="1"/>
  <c r="F12" i="9"/>
  <c r="D13" i="9"/>
  <c r="D14" i="9" s="1"/>
  <c r="D12" i="9"/>
  <c r="D19" i="9"/>
  <c r="D21" i="9"/>
  <c r="D17" i="9"/>
  <c r="D22" i="9" l="1"/>
  <c r="D18" i="9"/>
  <c r="D20" i="9"/>
  <c r="D25" i="9"/>
  <c r="D23" i="9"/>
  <c r="D24" i="9"/>
  <c r="B3" i="3"/>
  <c r="BI6" i="4"/>
  <c r="BE6" i="4" s="1"/>
  <c r="BI7" i="4"/>
  <c r="BE7" i="4" s="1"/>
  <c r="BI8" i="4"/>
  <c r="BE8" i="4" s="1"/>
  <c r="T9" i="1" l="1"/>
  <c r="T11" i="1"/>
  <c r="T10" i="1"/>
  <c r="F11" i="9"/>
  <c r="C14" i="1"/>
  <c r="H11" i="9" l="1"/>
  <c r="BI9" i="4"/>
  <c r="T12" i="1" s="1"/>
  <c r="BI16" i="4"/>
  <c r="AO13" i="4" s="1"/>
  <c r="BI15" i="4"/>
  <c r="BE15" i="4" s="1"/>
  <c r="BI14" i="4"/>
  <c r="BE14" i="4" s="1"/>
  <c r="BI13" i="4"/>
  <c r="AO10" i="4" s="1"/>
  <c r="BI12" i="4"/>
  <c r="AO9" i="4" s="1"/>
  <c r="BI11" i="4"/>
  <c r="AO8" i="4" s="1"/>
  <c r="BI10" i="4"/>
  <c r="J11" i="9" l="1"/>
  <c r="AO6" i="4"/>
  <c r="BE10" i="4"/>
  <c r="BE12" i="4"/>
  <c r="T19" i="1"/>
  <c r="BE11" i="4"/>
  <c r="T18" i="1"/>
  <c r="AO12" i="4"/>
  <c r="T17" i="1"/>
  <c r="BE16" i="4"/>
  <c r="BE9" i="4"/>
  <c r="AO11" i="4"/>
  <c r="BE13" i="4"/>
  <c r="AO7" i="4"/>
  <c r="G34" i="4"/>
  <c r="Q14" i="1"/>
  <c r="Q15" i="1"/>
  <c r="Q16" i="1"/>
  <c r="Q17" i="1"/>
  <c r="Q18" i="1"/>
  <c r="Q19" i="1"/>
  <c r="Q20" i="1"/>
  <c r="Q21" i="1"/>
  <c r="Q22" i="1"/>
  <c r="Q23" i="1"/>
  <c r="Q24" i="1"/>
  <c r="Q25" i="1"/>
  <c r="N18" i="1"/>
  <c r="N19" i="1"/>
  <c r="N20" i="1"/>
  <c r="N21" i="1"/>
  <c r="N22" i="1"/>
  <c r="N23" i="1"/>
  <c r="N24" i="1"/>
  <c r="N25" i="1"/>
  <c r="K23" i="1"/>
  <c r="K24" i="1"/>
  <c r="K25" i="1"/>
  <c r="H17" i="1"/>
  <c r="H18" i="1"/>
  <c r="H19" i="1"/>
  <c r="H20" i="1"/>
  <c r="H21" i="1"/>
  <c r="H22" i="1"/>
  <c r="H23" i="1"/>
  <c r="H24" i="1"/>
  <c r="H25" i="1"/>
  <c r="G78" i="4"/>
  <c r="G79" i="4"/>
  <c r="G80" i="4"/>
  <c r="G81" i="4"/>
  <c r="G82" i="4"/>
  <c r="G83" i="4"/>
  <c r="G84" i="4"/>
  <c r="G85" i="4"/>
  <c r="G86" i="4"/>
  <c r="G87" i="4"/>
  <c r="G88" i="4"/>
  <c r="G89" i="4"/>
  <c r="G60" i="4"/>
  <c r="G61" i="4"/>
  <c r="G62" i="4"/>
  <c r="G63" i="4"/>
  <c r="G64" i="4"/>
  <c r="G65" i="4"/>
  <c r="G66" i="4"/>
  <c r="G67" i="4"/>
  <c r="G43" i="4"/>
  <c r="G44" i="4"/>
  <c r="G45" i="4"/>
  <c r="G15" i="4"/>
  <c r="G16" i="4"/>
  <c r="G17" i="4"/>
  <c r="G18" i="4"/>
  <c r="G19" i="4"/>
  <c r="G20" i="4"/>
  <c r="G21" i="4"/>
  <c r="G22" i="4"/>
  <c r="G23" i="4"/>
  <c r="L11" i="9" l="1"/>
  <c r="BD4" i="4"/>
  <c r="S7" i="1"/>
  <c r="AN4" i="4" s="1"/>
  <c r="AK4" i="4"/>
  <c r="U19" i="4"/>
  <c r="U15" i="4"/>
  <c r="V23" i="4"/>
  <c r="U23" i="4" s="1"/>
  <c r="V22" i="4"/>
  <c r="U22" i="4" s="1"/>
  <c r="V21" i="4"/>
  <c r="U21" i="4" s="1"/>
  <c r="V20" i="4"/>
  <c r="U20" i="4" s="1"/>
  <c r="V16" i="4"/>
  <c r="U16" i="4" s="1"/>
  <c r="V17" i="4"/>
  <c r="U17" i="4" s="1"/>
  <c r="V18" i="4"/>
  <c r="U18" i="4" s="1"/>
  <c r="N11" i="9" l="1"/>
  <c r="V27" i="4"/>
  <c r="BD3" i="4"/>
  <c r="B3" i="4"/>
  <c r="P11" i="9" l="1"/>
  <c r="AN6" i="4"/>
  <c r="AN7" i="4"/>
  <c r="AN8" i="4"/>
  <c r="AN9" i="4"/>
  <c r="T15" i="1"/>
  <c r="T14" i="1"/>
  <c r="T13" i="1"/>
  <c r="R11" i="9" l="1"/>
  <c r="V12" i="4"/>
  <c r="V11" i="4"/>
  <c r="V10" i="4"/>
  <c r="V9" i="4"/>
  <c r="V8" i="4"/>
  <c r="V7" i="4"/>
  <c r="V5" i="4"/>
  <c r="B98" i="4"/>
  <c r="B97" i="4"/>
  <c r="B94" i="4"/>
  <c r="B95" i="4"/>
  <c r="B96" i="4"/>
  <c r="B99" i="4"/>
  <c r="Q13" i="1"/>
  <c r="Q9" i="1"/>
  <c r="Q10" i="1"/>
  <c r="Q11" i="1"/>
  <c r="Q12" i="1"/>
  <c r="Q8" i="1"/>
  <c r="Q7" i="1"/>
  <c r="N17" i="1"/>
  <c r="N16" i="1"/>
  <c r="N9" i="1"/>
  <c r="N10" i="1"/>
  <c r="N11" i="1"/>
  <c r="N12" i="1"/>
  <c r="N13" i="1"/>
  <c r="N14" i="1"/>
  <c r="N15" i="1"/>
  <c r="N8" i="1"/>
  <c r="N7" i="1"/>
  <c r="K22" i="1"/>
  <c r="K9" i="1"/>
  <c r="K10" i="1"/>
  <c r="K11" i="1"/>
  <c r="K12" i="1"/>
  <c r="K13" i="1"/>
  <c r="K14" i="1"/>
  <c r="K15" i="1"/>
  <c r="K16" i="1"/>
  <c r="K17" i="1"/>
  <c r="K18" i="1"/>
  <c r="K19" i="1"/>
  <c r="K20" i="1"/>
  <c r="K21" i="1"/>
  <c r="K8" i="1"/>
  <c r="K7" i="1"/>
  <c r="H16" i="1"/>
  <c r="H8" i="1"/>
  <c r="H9" i="1"/>
  <c r="H10" i="1"/>
  <c r="H11" i="1"/>
  <c r="H12" i="1"/>
  <c r="H13" i="1"/>
  <c r="H14" i="1"/>
  <c r="H15" i="1"/>
  <c r="H7" i="1"/>
  <c r="V11" i="9" l="1"/>
  <c r="T11" i="9"/>
  <c r="K84" i="4"/>
  <c r="J78" i="4"/>
  <c r="I81" i="4"/>
  <c r="J86" i="4"/>
  <c r="I89" i="4"/>
  <c r="J61" i="4"/>
  <c r="J63" i="4"/>
  <c r="J65" i="4"/>
  <c r="K67" i="4"/>
  <c r="K44" i="4"/>
  <c r="I66" i="4"/>
  <c r="K85" i="4"/>
  <c r="J81" i="4"/>
  <c r="I84" i="4"/>
  <c r="J89" i="4"/>
  <c r="K61" i="4"/>
  <c r="K63" i="4"/>
  <c r="K65" i="4"/>
  <c r="K78" i="4"/>
  <c r="K86" i="4"/>
  <c r="I79" i="4"/>
  <c r="J84" i="4"/>
  <c r="I87" i="4"/>
  <c r="I43" i="4"/>
  <c r="K79" i="4"/>
  <c r="K87" i="4"/>
  <c r="J79" i="4"/>
  <c r="I82" i="4"/>
  <c r="J87" i="4"/>
  <c r="I60" i="4"/>
  <c r="I62" i="4"/>
  <c r="I64" i="4"/>
  <c r="J66" i="4"/>
  <c r="J43" i="4"/>
  <c r="J45" i="4"/>
  <c r="J82" i="4"/>
  <c r="I85" i="4"/>
  <c r="J60" i="4"/>
  <c r="J62" i="4"/>
  <c r="K66" i="4"/>
  <c r="K45" i="4"/>
  <c r="K89" i="4"/>
  <c r="I88" i="4"/>
  <c r="K80" i="4"/>
  <c r="K88" i="4"/>
  <c r="J64" i="4"/>
  <c r="K43" i="4"/>
  <c r="K81" i="4"/>
  <c r="I80" i="4"/>
  <c r="J85" i="4"/>
  <c r="K64" i="4"/>
  <c r="K82" i="4"/>
  <c r="J80" i="4"/>
  <c r="I83" i="4"/>
  <c r="J88" i="4"/>
  <c r="I67" i="4"/>
  <c r="I44" i="4"/>
  <c r="J83" i="4"/>
  <c r="I61" i="4"/>
  <c r="I65" i="4"/>
  <c r="J44" i="4"/>
  <c r="K62" i="4"/>
  <c r="K83" i="4"/>
  <c r="I78" i="4"/>
  <c r="I86" i="4"/>
  <c r="I63" i="4"/>
  <c r="J67" i="4"/>
  <c r="I45" i="4"/>
  <c r="K60" i="4"/>
  <c r="J73" i="4"/>
  <c r="I17" i="4"/>
  <c r="I21" i="4"/>
  <c r="J21" i="4"/>
  <c r="J20" i="4"/>
  <c r="K20" i="4"/>
  <c r="I15" i="4"/>
  <c r="I19" i="4"/>
  <c r="I23" i="4"/>
  <c r="K18" i="4"/>
  <c r="J15" i="4"/>
  <c r="J17" i="4"/>
  <c r="J19" i="4"/>
  <c r="J23" i="4"/>
  <c r="K15" i="4"/>
  <c r="K17" i="4"/>
  <c r="K19" i="4"/>
  <c r="K21" i="4"/>
  <c r="K16" i="4"/>
  <c r="I18" i="4"/>
  <c r="I22" i="4"/>
  <c r="J18" i="4"/>
  <c r="K22" i="4"/>
  <c r="I16" i="4"/>
  <c r="I20" i="4"/>
  <c r="J16" i="4"/>
  <c r="J22" i="4"/>
  <c r="I5" i="4"/>
  <c r="K36" i="4"/>
  <c r="K55" i="4"/>
  <c r="K71" i="4"/>
  <c r="J71" i="4"/>
  <c r="I7" i="4"/>
  <c r="J8" i="4"/>
  <c r="I37" i="4"/>
  <c r="I29" i="4"/>
  <c r="J36" i="4"/>
  <c r="J28" i="4"/>
  <c r="I52" i="4"/>
  <c r="J54" i="4"/>
  <c r="I74" i="4"/>
  <c r="J72" i="4"/>
  <c r="K6" i="4"/>
  <c r="J5" i="4"/>
  <c r="K35" i="4"/>
  <c r="I27" i="4"/>
  <c r="K54" i="4"/>
  <c r="K77" i="4"/>
  <c r="I14" i="4"/>
  <c r="I6" i="4"/>
  <c r="J7" i="4"/>
  <c r="I36" i="4"/>
  <c r="I28" i="4"/>
  <c r="J35" i="4"/>
  <c r="I59" i="4"/>
  <c r="I51" i="4"/>
  <c r="J53" i="4"/>
  <c r="I73" i="4"/>
  <c r="K9" i="4"/>
  <c r="K27" i="4"/>
  <c r="K34" i="4"/>
  <c r="J27" i="4"/>
  <c r="K53" i="4"/>
  <c r="K76" i="4"/>
  <c r="I13" i="4"/>
  <c r="J14" i="4"/>
  <c r="J6" i="4"/>
  <c r="I35" i="4"/>
  <c r="J42" i="4"/>
  <c r="J34" i="4"/>
  <c r="I58" i="4"/>
  <c r="I50" i="4"/>
  <c r="J52" i="4"/>
  <c r="I72" i="4"/>
  <c r="K14" i="4"/>
  <c r="K41" i="4"/>
  <c r="K33" i="4"/>
  <c r="K49" i="4"/>
  <c r="K75" i="4"/>
  <c r="I12" i="4"/>
  <c r="J13" i="4"/>
  <c r="I42" i="4"/>
  <c r="I34" i="4"/>
  <c r="J41" i="4"/>
  <c r="J33" i="4"/>
  <c r="I57" i="4"/>
  <c r="J59" i="4"/>
  <c r="J51" i="4"/>
  <c r="J77" i="4"/>
  <c r="K13" i="4"/>
  <c r="K40" i="4"/>
  <c r="K32" i="4"/>
  <c r="K59" i="4"/>
  <c r="K51" i="4"/>
  <c r="K74" i="4"/>
  <c r="I11" i="4"/>
  <c r="J12" i="4"/>
  <c r="I41" i="4"/>
  <c r="I33" i="4"/>
  <c r="J40" i="4"/>
  <c r="J32" i="4"/>
  <c r="I56" i="4"/>
  <c r="J58" i="4"/>
  <c r="J50" i="4"/>
  <c r="J76" i="4"/>
  <c r="K12" i="4"/>
  <c r="K39" i="4"/>
  <c r="K31" i="4"/>
  <c r="K58" i="4"/>
  <c r="K50" i="4"/>
  <c r="K73" i="4"/>
  <c r="I10" i="4"/>
  <c r="J11" i="4"/>
  <c r="I40" i="4"/>
  <c r="I32" i="4"/>
  <c r="J39" i="4"/>
  <c r="J31" i="4"/>
  <c r="I55" i="4"/>
  <c r="J57" i="4"/>
  <c r="I77" i="4"/>
  <c r="J75" i="4"/>
  <c r="K5" i="4"/>
  <c r="K11" i="4"/>
  <c r="K38" i="4"/>
  <c r="K30" i="4"/>
  <c r="K57" i="4"/>
  <c r="I49" i="4"/>
  <c r="K72" i="4"/>
  <c r="I9" i="4"/>
  <c r="J10" i="4"/>
  <c r="I39" i="4"/>
  <c r="I31" i="4"/>
  <c r="J38" i="4"/>
  <c r="J30" i="4"/>
  <c r="I54" i="4"/>
  <c r="J56" i="4"/>
  <c r="I76" i="4"/>
  <c r="J74" i="4"/>
  <c r="K8" i="4"/>
  <c r="K10" i="4"/>
  <c r="K37" i="4"/>
  <c r="K29" i="4"/>
  <c r="K56" i="4"/>
  <c r="J49" i="4"/>
  <c r="I71" i="4"/>
  <c r="I8" i="4"/>
  <c r="J9" i="4"/>
  <c r="I38" i="4"/>
  <c r="I30" i="4"/>
  <c r="J37" i="4"/>
  <c r="J29" i="4"/>
  <c r="I53" i="4"/>
  <c r="J55" i="4"/>
  <c r="I75" i="4"/>
  <c r="G42" i="4"/>
  <c r="K42" i="4" s="1"/>
  <c r="G59" i="4"/>
  <c r="G77" i="4"/>
  <c r="G14" i="4"/>
  <c r="K90" i="4" l="1"/>
  <c r="G41" i="4"/>
  <c r="AN5" i="4" l="1"/>
  <c r="AN10" i="4"/>
  <c r="AN14" i="4"/>
  <c r="AN15" i="4"/>
  <c r="AN16" i="4"/>
  <c r="AN17" i="4"/>
  <c r="AN18" i="4"/>
  <c r="AN19" i="4"/>
  <c r="AN20" i="4"/>
  <c r="AN21" i="4"/>
  <c r="AN22" i="4"/>
  <c r="AF6" i="4" l="1"/>
  <c r="Y64" i="4"/>
  <c r="Y63" i="4"/>
  <c r="M29" i="4"/>
  <c r="M28" i="4"/>
  <c r="M27" i="4"/>
  <c r="M26" i="4"/>
  <c r="M25" i="4"/>
  <c r="M24" i="4"/>
  <c r="M23" i="4"/>
  <c r="M11" i="4"/>
  <c r="M10" i="4"/>
  <c r="M9" i="4"/>
  <c r="M8" i="4"/>
  <c r="M7" i="4"/>
  <c r="M6" i="4"/>
  <c r="M5" i="4"/>
  <c r="Y10" i="4"/>
  <c r="AF7" i="4" l="1"/>
  <c r="AG24" i="4"/>
  <c r="AG5" i="4" s="1"/>
  <c r="AF5" i="4" s="1"/>
  <c r="Y65" i="4"/>
  <c r="Z72" i="4" s="1"/>
  <c r="Y11" i="4"/>
  <c r="P32" i="4"/>
  <c r="P23" i="4"/>
  <c r="K7" i="4" s="1"/>
  <c r="P20" i="4"/>
  <c r="P17" i="4"/>
  <c r="P14" i="4"/>
  <c r="P5" i="4"/>
  <c r="K23" i="4" l="1"/>
  <c r="K24" i="4" s="1"/>
  <c r="K28" i="4"/>
  <c r="K46" i="4" s="1"/>
  <c r="K52" i="4"/>
  <c r="K68" i="4" s="1"/>
  <c r="Y12" i="4"/>
  <c r="I13" i="5"/>
  <c r="I7" i="5"/>
  <c r="N7" i="5"/>
  <c r="N16" i="5"/>
  <c r="I16" i="5"/>
  <c r="N10" i="5"/>
  <c r="I10" i="5"/>
  <c r="Y13" i="4" l="1"/>
  <c r="AF8" i="4"/>
  <c r="Y66" i="4"/>
  <c r="G33" i="4"/>
  <c r="Y67" i="4" l="1"/>
  <c r="AF9" i="4"/>
  <c r="BI5" i="4"/>
  <c r="X25" i="3"/>
  <c r="X6" i="3"/>
  <c r="X7" i="3" s="1"/>
  <c r="Z26" i="4"/>
  <c r="Z27" i="4" s="1"/>
  <c r="Z28" i="4" s="1"/>
  <c r="Z29" i="4" s="1"/>
  <c r="Z30" i="4" s="1"/>
  <c r="Z31" i="4" s="1"/>
  <c r="Z32" i="4" s="1"/>
  <c r="Z33" i="4" s="1"/>
  <c r="Z34" i="4" s="1"/>
  <c r="Z35" i="4" s="1"/>
  <c r="Z36" i="4" s="1"/>
  <c r="Z37" i="4" s="1"/>
  <c r="Z38" i="4" s="1"/>
  <c r="Z39" i="4" s="1"/>
  <c r="Z40" i="4" s="1"/>
  <c r="Z41" i="4" s="1"/>
  <c r="AB24" i="4"/>
  <c r="V4" i="4"/>
  <c r="U4" i="4" s="1"/>
  <c r="N32" i="4"/>
  <c r="N20" i="4"/>
  <c r="N17" i="4"/>
  <c r="N14" i="4"/>
  <c r="G13" i="4"/>
  <c r="G12" i="4"/>
  <c r="G11" i="4"/>
  <c r="G10" i="4"/>
  <c r="G9" i="4"/>
  <c r="G8" i="4"/>
  <c r="G7" i="4"/>
  <c r="G6" i="4"/>
  <c r="G5" i="4"/>
  <c r="G76" i="4"/>
  <c r="G75" i="4"/>
  <c r="G74" i="4"/>
  <c r="G73" i="4"/>
  <c r="G72" i="4"/>
  <c r="G71" i="4"/>
  <c r="G58" i="4"/>
  <c r="G57" i="4"/>
  <c r="G56" i="4"/>
  <c r="G55" i="4"/>
  <c r="G54" i="4"/>
  <c r="G53" i="4"/>
  <c r="G52" i="4"/>
  <c r="G51" i="4"/>
  <c r="G50" i="4"/>
  <c r="G49" i="4"/>
  <c r="G40" i="4"/>
  <c r="G39" i="4"/>
  <c r="G38" i="4"/>
  <c r="G37" i="4"/>
  <c r="G36" i="4"/>
  <c r="G35" i="4"/>
  <c r="G32" i="4"/>
  <c r="G31" i="4"/>
  <c r="G30" i="4"/>
  <c r="G29" i="4"/>
  <c r="G28" i="4"/>
  <c r="G27" i="4"/>
  <c r="AO5" i="4" l="1"/>
  <c r="BE5" i="4"/>
  <c r="Y14" i="4"/>
  <c r="AF10" i="4"/>
  <c r="Y69" i="4"/>
  <c r="Y68" i="4"/>
  <c r="Y15" i="4"/>
  <c r="T8" i="1"/>
  <c r="T16" i="1"/>
  <c r="X26" i="3"/>
  <c r="X8" i="3"/>
  <c r="Z42" i="4"/>
  <c r="Z43" i="4" s="1"/>
  <c r="Z44" i="4" s="1"/>
  <c r="Z45" i="4" s="1"/>
  <c r="Z46" i="4" s="1"/>
  <c r="Z47" i="4" s="1"/>
  <c r="Z48" i="4" s="1"/>
  <c r="Z49" i="4" s="1"/>
  <c r="Z50" i="4" s="1"/>
  <c r="Z51" i="4" s="1"/>
  <c r="Z52" i="4" s="1"/>
  <c r="Z53" i="4" s="1"/>
  <c r="Z54" i="4" s="1"/>
  <c r="Z55" i="4" s="1"/>
  <c r="R17" i="4"/>
  <c r="R20" i="4"/>
  <c r="R14" i="4"/>
  <c r="R32" i="4"/>
  <c r="N13" i="5"/>
  <c r="D10" i="5"/>
  <c r="D7" i="5"/>
  <c r="Y16" i="4" l="1"/>
  <c r="AF11" i="4"/>
  <c r="X27" i="3"/>
  <c r="X9" i="3"/>
  <c r="AC24" i="4"/>
  <c r="W7" i="1"/>
  <c r="W16" i="1" s="1"/>
  <c r="BE20" i="4" l="1"/>
  <c r="BE18" i="4"/>
  <c r="BE19" i="4"/>
  <c r="BI19" i="4" s="1"/>
  <c r="AO16" i="4" s="1"/>
  <c r="BE17" i="4"/>
  <c r="AF12" i="4"/>
  <c r="Y17" i="4"/>
  <c r="Z9" i="4"/>
  <c r="Y9" i="4" s="1"/>
  <c r="X10" i="3"/>
  <c r="X28" i="3"/>
  <c r="Y18" i="4" l="1"/>
  <c r="AF13" i="4"/>
  <c r="W14" i="1"/>
  <c r="BI20" i="4"/>
  <c r="AO17" i="4" s="1"/>
  <c r="BI18" i="4"/>
  <c r="AO15" i="4" s="1"/>
  <c r="BI17" i="4"/>
  <c r="AO14" i="4" s="1"/>
  <c r="X29" i="3"/>
  <c r="X11" i="3"/>
  <c r="W13" i="1"/>
  <c r="BG7" i="4" l="1"/>
  <c r="BG6" i="4"/>
  <c r="BG8" i="4"/>
  <c r="BG15" i="4"/>
  <c r="BG14" i="4"/>
  <c r="BG16" i="4"/>
  <c r="BG10" i="4"/>
  <c r="BG11" i="4"/>
  <c r="BG12" i="4"/>
  <c r="BG9" i="4"/>
  <c r="AF14" i="4"/>
  <c r="Y19" i="4"/>
  <c r="T23" i="1"/>
  <c r="BG20" i="4"/>
  <c r="BG5" i="4"/>
  <c r="BG13" i="4"/>
  <c r="T21" i="1"/>
  <c r="BG18" i="4"/>
  <c r="BG17" i="4"/>
  <c r="BI4" i="4"/>
  <c r="AO4" i="4" s="1"/>
  <c r="T20" i="1"/>
  <c r="X30" i="3"/>
  <c r="X12" i="3"/>
  <c r="W17" i="1"/>
  <c r="AO22" i="4" s="1"/>
  <c r="W11" i="1"/>
  <c r="BE23" i="4" s="1"/>
  <c r="W10" i="1"/>
  <c r="W9" i="1"/>
  <c r="W12" i="1" s="1"/>
  <c r="W8" i="1"/>
  <c r="BE4" i="4" l="1"/>
  <c r="BI23" i="4"/>
  <c r="Y21" i="4"/>
  <c r="Z5" i="4" s="1"/>
  <c r="BE22" i="4" s="1"/>
  <c r="BI22" i="4" s="1"/>
  <c r="AO19" i="4" s="1"/>
  <c r="Y20" i="4"/>
  <c r="AF15" i="4"/>
  <c r="T7" i="1"/>
  <c r="BG4" i="4"/>
  <c r="X13" i="3"/>
  <c r="X31" i="3"/>
  <c r="AO20" i="4" l="1"/>
  <c r="AF16" i="4"/>
  <c r="T26" i="1"/>
  <c r="BG23" i="4"/>
  <c r="T25" i="1"/>
  <c r="BG22" i="4"/>
  <c r="BG19" i="4"/>
  <c r="T22" i="1"/>
  <c r="X32" i="3"/>
  <c r="X14" i="3"/>
  <c r="AF17" i="4" l="1"/>
  <c r="X15" i="3"/>
  <c r="X33" i="3"/>
  <c r="AF18" i="4" l="1"/>
  <c r="X34" i="3"/>
  <c r="X16" i="3"/>
  <c r="AF19" i="4" l="1"/>
  <c r="X17" i="3"/>
  <c r="X35" i="3"/>
  <c r="AF21" i="4" l="1"/>
  <c r="AF20" i="4"/>
  <c r="BE24" i="4" s="1"/>
  <c r="BI24" i="4" s="1"/>
  <c r="AO21" i="4" s="1"/>
  <c r="X36" i="3"/>
  <c r="X18" i="3"/>
  <c r="BG24" i="4" l="1"/>
  <c r="T27" i="1"/>
  <c r="X37" i="3"/>
  <c r="X19" i="3"/>
  <c r="X20" i="3" l="1"/>
  <c r="X38" i="3"/>
  <c r="W15" i="1"/>
  <c r="X39" i="3" l="1"/>
  <c r="U12" i="4"/>
  <c r="U9" i="4"/>
  <c r="U8" i="4"/>
  <c r="U7" i="4"/>
  <c r="U10" i="4"/>
  <c r="U5" i="4"/>
  <c r="U6" i="4"/>
  <c r="U11" i="4"/>
  <c r="V26" i="4" l="1"/>
  <c r="V28" i="4" s="1"/>
  <c r="BE21" i="4" s="1"/>
  <c r="BE25" i="4" s="1"/>
  <c r="BI21" i="4" l="1"/>
  <c r="AO18" i="4" s="1"/>
  <c r="N35" i="4"/>
  <c r="Z6" i="3" s="1"/>
  <c r="Y11" i="3"/>
  <c r="AD11" i="3"/>
  <c r="AD7" i="3"/>
  <c r="Y9" i="3"/>
  <c r="Y6" i="3"/>
  <c r="Y15" i="3"/>
  <c r="Y17" i="3"/>
  <c r="AD13" i="3"/>
  <c r="Y16" i="3"/>
  <c r="AD10" i="3"/>
  <c r="Y8" i="3"/>
  <c r="AD8" i="3"/>
  <c r="AD12" i="3"/>
  <c r="AD15" i="3"/>
  <c r="AD14" i="3"/>
  <c r="Y14" i="3"/>
  <c r="AD5" i="3"/>
  <c r="Y7" i="3"/>
  <c r="Y12" i="3"/>
  <c r="Y13" i="3"/>
  <c r="Y20" i="3"/>
  <c r="Y19" i="3"/>
  <c r="Y5" i="3"/>
  <c r="AD6" i="3"/>
  <c r="Y18" i="3"/>
  <c r="AD9" i="3"/>
  <c r="Y10" i="3"/>
  <c r="T24" i="1" l="1"/>
  <c r="BI25" i="4"/>
  <c r="W26" i="1" s="1"/>
  <c r="AE26" i="3"/>
  <c r="AE9" i="3"/>
  <c r="BG21" i="4"/>
  <c r="AE27" i="3"/>
  <c r="Z11" i="3"/>
  <c r="AE19" i="3"/>
  <c r="Z14" i="3"/>
  <c r="Z10" i="3"/>
  <c r="AE20" i="3"/>
  <c r="AE21" i="3"/>
  <c r="Z8" i="3"/>
  <c r="AE29" i="3"/>
  <c r="Z5" i="3"/>
  <c r="Z16" i="3"/>
  <c r="AE8" i="3"/>
  <c r="Z12" i="3"/>
  <c r="AE25" i="3"/>
  <c r="AE7" i="3"/>
  <c r="AE28" i="3"/>
  <c r="Z20" i="3"/>
  <c r="AE12" i="3"/>
  <c r="AE24" i="3"/>
  <c r="Z7" i="3"/>
  <c r="AE11" i="3"/>
  <c r="Z19" i="3"/>
  <c r="AE5" i="3"/>
  <c r="AE13" i="3"/>
  <c r="AE23" i="3"/>
  <c r="AE15" i="3"/>
  <c r="Z13" i="3"/>
  <c r="Z17" i="3"/>
  <c r="P35" i="4"/>
  <c r="Z29" i="3" s="1"/>
  <c r="Z18" i="3"/>
  <c r="AE6" i="3"/>
  <c r="AE14" i="3"/>
  <c r="AE10" i="3"/>
  <c r="Z15" i="3"/>
  <c r="Z9" i="3"/>
  <c r="AE22" i="3"/>
  <c r="BK14" i="4" l="1"/>
  <c r="BK16" i="4"/>
  <c r="BK8" i="4"/>
  <c r="BK7" i="4"/>
  <c r="BK6" i="4"/>
  <c r="BK15" i="4"/>
  <c r="BK23" i="4"/>
  <c r="BK20" i="4"/>
  <c r="Y32" i="3"/>
  <c r="AD26" i="3"/>
  <c r="BK13" i="4"/>
  <c r="Y38" i="3"/>
  <c r="AD27" i="3"/>
  <c r="Y29" i="3"/>
  <c r="AD25" i="3"/>
  <c r="BK22" i="4"/>
  <c r="AD21" i="3"/>
  <c r="Y39" i="3"/>
  <c r="Y27" i="3"/>
  <c r="BK19" i="4"/>
  <c r="Y35" i="3"/>
  <c r="AD22" i="3"/>
  <c r="Y26" i="3"/>
  <c r="Y31" i="3"/>
  <c r="BK17" i="4"/>
  <c r="AD24" i="3"/>
  <c r="BK24" i="4"/>
  <c r="BK9" i="4"/>
  <c r="Y36" i="3"/>
  <c r="Y34" i="3"/>
  <c r="Y37" i="3"/>
  <c r="BK12" i="4"/>
  <c r="T28" i="1"/>
  <c r="BK5" i="4"/>
  <c r="BK4" i="4"/>
  <c r="BK21" i="4"/>
  <c r="Y30" i="3"/>
  <c r="AD28" i="3"/>
  <c r="AD19" i="3"/>
  <c r="BK11" i="4"/>
  <c r="Y24" i="3"/>
  <c r="Y25" i="3"/>
  <c r="W23" i="1"/>
  <c r="W20" i="1" s="1"/>
  <c r="BK10" i="4"/>
  <c r="AD20" i="3"/>
  <c r="AD29" i="3"/>
  <c r="BG25" i="4"/>
  <c r="Y33" i="3"/>
  <c r="Y28" i="3"/>
  <c r="BK18" i="4"/>
  <c r="AD23" i="3"/>
  <c r="Z35" i="3"/>
  <c r="Z28" i="3"/>
  <c r="Z39" i="3"/>
  <c r="Z31" i="3"/>
  <c r="Z37" i="3"/>
  <c r="Z34" i="3"/>
  <c r="Z27" i="3"/>
  <c r="Z24" i="3"/>
  <c r="Z32" i="3"/>
  <c r="Z25" i="3"/>
  <c r="Z33" i="3"/>
  <c r="Z26" i="3"/>
  <c r="Z30" i="3"/>
  <c r="Z36" i="3"/>
  <c r="Z38" i="3"/>
  <c r="BK25" i="4" l="1"/>
</calcChain>
</file>

<file path=xl/sharedStrings.xml><?xml version="1.0" encoding="utf-8"?>
<sst xmlns="http://schemas.openxmlformats.org/spreadsheetml/2006/main" count="1029" uniqueCount="263">
  <si>
    <t>Switch 62.5 WG</t>
  </si>
  <si>
    <t>Rate</t>
  </si>
  <si>
    <t>Herbicide</t>
  </si>
  <si>
    <t>Fungicide</t>
  </si>
  <si>
    <t>Insecticide</t>
  </si>
  <si>
    <t>Fertilizer</t>
  </si>
  <si>
    <t>Pruning</t>
  </si>
  <si>
    <t>Flail mower</t>
  </si>
  <si>
    <t>Pollination</t>
  </si>
  <si>
    <t>/acre</t>
  </si>
  <si>
    <t>/lb</t>
  </si>
  <si>
    <t>total</t>
  </si>
  <si>
    <t>Revenue after expenses</t>
  </si>
  <si>
    <t># of acres</t>
  </si>
  <si>
    <t>acres</t>
  </si>
  <si>
    <t>% vine coverage</t>
  </si>
  <si>
    <t>%</t>
  </si>
  <si>
    <t>Average yield</t>
  </si>
  <si>
    <t>Harvest method</t>
  </si>
  <si>
    <t>Trucking</t>
  </si>
  <si>
    <t>Pruning method</t>
  </si>
  <si>
    <t>Total acres</t>
  </si>
  <si>
    <t>Vine coverage</t>
  </si>
  <si>
    <t>Bare ground</t>
  </si>
  <si>
    <t>Additional income</t>
  </si>
  <si>
    <t>Yield revenue</t>
  </si>
  <si>
    <t>Additional expenses</t>
  </si>
  <si>
    <t>Cost</t>
  </si>
  <si>
    <t>Oil burner</t>
  </si>
  <si>
    <t>Hand rake</t>
  </si>
  <si>
    <t>No input</t>
  </si>
  <si>
    <t>Herbicide spraying</t>
  </si>
  <si>
    <t>Harvester type</t>
  </si>
  <si>
    <t>Mechanical</t>
  </si>
  <si>
    <t xml:space="preserve">Avg vine yield </t>
  </si>
  <si>
    <t>Avg field yield</t>
  </si>
  <si>
    <t>Total</t>
  </si>
  <si>
    <t>Herbicide cost</t>
  </si>
  <si>
    <t>Application cost</t>
  </si>
  <si>
    <t>Fungicide spraying</t>
  </si>
  <si>
    <t>Fungicide cost</t>
  </si>
  <si>
    <t>Insecticide spraying</t>
  </si>
  <si>
    <t>Insecticide cost</t>
  </si>
  <si>
    <t>Fertilizer spreading</t>
  </si>
  <si>
    <t>Fertilizer cost</t>
  </si>
  <si>
    <t>Total fertilizer &amp; application cost</t>
  </si>
  <si>
    <t>Trucking cost</t>
  </si>
  <si>
    <t>Break Point</t>
  </si>
  <si>
    <t>Yield (lbs/acre)</t>
  </si>
  <si>
    <t>Total field yield</t>
  </si>
  <si>
    <t>Agrochemical Application Costs</t>
  </si>
  <si>
    <t>Harvesting Costs</t>
  </si>
  <si>
    <t>Income ($/acre)</t>
  </si>
  <si>
    <t>No agrochemical inputs</t>
  </si>
  <si>
    <t>No agrochemical inputs ($/acre)</t>
  </si>
  <si>
    <t>Vine coverage (%)</t>
  </si>
  <si>
    <t>Income vs. Blueberry Vine Coverage Graph</t>
  </si>
  <si>
    <t>Income vs. Blueberry Yield Graph</t>
  </si>
  <si>
    <t>Blueberry price</t>
  </si>
  <si>
    <t>Sinbar WDG</t>
  </si>
  <si>
    <t>Kerb SC</t>
  </si>
  <si>
    <t>Delegate WG</t>
  </si>
  <si>
    <t>Wasted agrochemical</t>
  </si>
  <si>
    <t>Actual blueberry price</t>
  </si>
  <si>
    <t>Crop insurance dues</t>
  </si>
  <si>
    <t>Crop insurance</t>
  </si>
  <si>
    <t>Box tare</t>
  </si>
  <si>
    <t>Field scouting</t>
  </si>
  <si>
    <t>Free</t>
  </si>
  <si>
    <t>Total:</t>
  </si>
  <si>
    <t>Total yield</t>
  </si>
  <si>
    <t>lbs</t>
  </si>
  <si>
    <t>lbs/acre</t>
  </si>
  <si>
    <t>Total hectares</t>
  </si>
  <si>
    <t>ha</t>
  </si>
  <si>
    <t xml:space="preserve">         Field Input</t>
  </si>
  <si>
    <t>Field Output</t>
  </si>
  <si>
    <t>1st application</t>
  </si>
  <si>
    <t>2nd application</t>
  </si>
  <si>
    <t>800-899</t>
  </si>
  <si>
    <t>900-999</t>
  </si>
  <si>
    <t>1000-1099</t>
  </si>
  <si>
    <t>1100-1199</t>
  </si>
  <si>
    <t>1200-1299</t>
  </si>
  <si>
    <t>1300-1399</t>
  </si>
  <si>
    <t>1400-1499</t>
  </si>
  <si>
    <t>1500-1599</t>
  </si>
  <si>
    <t>1600-1699</t>
  </si>
  <si>
    <t>1700-1799</t>
  </si>
  <si>
    <t>1800-1899</t>
  </si>
  <si>
    <t>1900-1999</t>
  </si>
  <si>
    <t>2000-2099</t>
  </si>
  <si>
    <t>2100-2199</t>
  </si>
  <si>
    <t>2200-2299</t>
  </si>
  <si>
    <t>2300-2399</t>
  </si>
  <si>
    <t>2400-2499</t>
  </si>
  <si>
    <t>2500-2599</t>
  </si>
  <si>
    <t>2600-2699</t>
  </si>
  <si>
    <t>2700-2799</t>
  </si>
  <si>
    <t>2800-2899</t>
  </si>
  <si>
    <t>2900-2999</t>
  </si>
  <si>
    <t>3000-3099</t>
  </si>
  <si>
    <t>3100-3199</t>
  </si>
  <si>
    <t>3200-3299</t>
  </si>
  <si>
    <t>3300-3399</t>
  </si>
  <si>
    <t>3400-3499</t>
  </si>
  <si>
    <t>3500-3599</t>
  </si>
  <si>
    <t>3600-3699</t>
  </si>
  <si>
    <t>3700-3799</t>
  </si>
  <si>
    <t>3800-4000</t>
  </si>
  <si>
    <t>4000-5999</t>
  </si>
  <si>
    <t>6000-7999</t>
  </si>
  <si>
    <t>8000-9999</t>
  </si>
  <si>
    <t>10000+</t>
  </si>
  <si>
    <t>Agrochemical Input Totals</t>
  </si>
  <si>
    <t>No agrochemical input</t>
  </si>
  <si>
    <t>User chosen input</t>
  </si>
  <si>
    <t>Income (total)</t>
  </si>
  <si>
    <t>No agrochemical inputs (total)</t>
  </si>
  <si>
    <t>User chosen inputs ($/acre)</t>
  </si>
  <si>
    <t>User chosen inputs (total)</t>
  </si>
  <si>
    <t>Field Costs</t>
  </si>
  <si>
    <t>Table axis labels</t>
  </si>
  <si>
    <t>Unit Converter</t>
  </si>
  <si>
    <t>Acknowledgements</t>
  </si>
  <si>
    <t>kg</t>
  </si>
  <si>
    <t>kg/ha</t>
  </si>
  <si>
    <t>ton</t>
  </si>
  <si>
    <t>ton/acre</t>
  </si>
  <si>
    <t>ton/ha</t>
  </si>
  <si>
    <t>kg/acre</t>
  </si>
  <si>
    <t>Contractor pruning cost</t>
  </si>
  <si>
    <t>Revenue vs. Expenses Chart</t>
  </si>
  <si>
    <t>Fungicides applied</t>
  </si>
  <si>
    <t>Herbicides applied</t>
  </si>
  <si>
    <t>Insectides applied</t>
  </si>
  <si>
    <t>Fertilizers applied</t>
  </si>
  <si>
    <t>Total cost</t>
  </si>
  <si>
    <t>wildblueberrytool@gmail.com</t>
  </si>
  <si>
    <t>Contractor → $25</t>
  </si>
  <si>
    <t>Other</t>
  </si>
  <si>
    <t>0</t>
  </si>
  <si>
    <t># of applications</t>
  </si>
  <si>
    <t>No application of the agrochemical</t>
  </si>
  <si>
    <t xml:space="preserve">1 application of the agrochemical </t>
  </si>
  <si>
    <t>1 application of the agrochemical (mixed in with another agrochemical that isn't already labelled as a tank mix)</t>
  </si>
  <si>
    <t>2 applications of the agrochemical (1 of the applications is tank mixed with another agrochemical that isn't already labelled as a tank mix)</t>
  </si>
  <si>
    <t>2 applications of the agrochemical (both mixed in with another agrochemical that isn't already labelled as a tank mix)</t>
  </si>
  <si>
    <t>2 applications of the agrochemical</t>
  </si>
  <si>
    <t>Description:             Note --------&gt; (tm = tank mix)</t>
  </si>
  <si>
    <t xml:space="preserve">Additional details for # of applications &amp; tank mixes (tm) </t>
  </si>
  <si>
    <t xml:space="preserve">Please let us know what you think of the wild blueberry management tool or if you have any questions or would like to make a recommendation simply email: </t>
  </si>
  <si>
    <t>Yearly land cost</t>
  </si>
  <si>
    <t>Soil samples</t>
  </si>
  <si>
    <t>Tissue samples</t>
  </si>
  <si>
    <t>Insect monitoring</t>
  </si>
  <si>
    <t>Land cost</t>
  </si>
  <si>
    <t>Field name</t>
  </si>
  <si>
    <t>Date</t>
  </si>
  <si>
    <t>Honey bee hives</t>
  </si>
  <si>
    <t>Bumble bee quads</t>
  </si>
  <si>
    <t>Honey Bee Costs</t>
  </si>
  <si>
    <t>Bumble Bee Quad Costs</t>
  </si>
  <si>
    <t>Other Costs</t>
  </si>
  <si>
    <t>Total Pollination Costs</t>
  </si>
  <si>
    <t>Blueberry Field #1</t>
  </si>
  <si>
    <t>&lt;799</t>
  </si>
  <si>
    <t>Yield (lb/acre)</t>
  </si>
  <si>
    <t>Pruning Costs</t>
  </si>
  <si>
    <t>Contractor → $0.11</t>
  </si>
  <si>
    <t>Contractor → $0.02</t>
  </si>
  <si>
    <t>Rotary mower</t>
  </si>
  <si>
    <t>/x</t>
  </si>
  <si>
    <t>x/acre</t>
  </si>
  <si>
    <t>Weed wiping</t>
  </si>
  <si>
    <t>Frost control</t>
  </si>
  <si>
    <t>Irrigation</t>
  </si>
  <si>
    <t>Spraying cost</t>
  </si>
  <si>
    <t>Fertilizer spreading cost</t>
  </si>
  <si>
    <t>Harvesting cost</t>
  </si>
  <si>
    <t>Harvesting</t>
  </si>
  <si>
    <t>Pruning cost</t>
  </si>
  <si>
    <t>Rotary &amp; flail mower</t>
  </si>
  <si>
    <t>Sicklebar &amp; burning</t>
  </si>
  <si>
    <t>Straw burning</t>
  </si>
  <si>
    <t>Contractor → $70</t>
  </si>
  <si>
    <r>
      <rPr>
        <b/>
        <sz val="18"/>
        <color theme="1"/>
        <rFont val="Calibri"/>
        <family val="2"/>
        <scheme val="minor"/>
      </rPr>
      <t xml:space="preserve">DISCLAIMER </t>
    </r>
    <r>
      <rPr>
        <sz val="14"/>
        <color theme="1"/>
        <rFont val="Calibri"/>
        <family val="2"/>
        <scheme val="minor"/>
      </rPr>
      <t xml:space="preserve">
Dalhousie University in collaboration with the Wild Blueberry Producers Association of Nova Scotia (WBPANS) compiled this Wild Blueberry Management Tool (“Tool”) to help wild blueberry farmers estimate input costs based on approximate pricing and specific pesticide label rates. </t>
    </r>
    <r>
      <rPr>
        <b/>
        <sz val="14"/>
        <color theme="1"/>
        <rFont val="Calibri"/>
        <family val="2"/>
        <scheme val="minor"/>
      </rPr>
      <t>The Tool relies on information and data obtained from third party sources over which Dalhousie University and WBPANS has no control, and which information is continuously changing and therefore can cease to be current and accurate. Pesticide labels are the best source of information and should always be consulted prior to using a product.</t>
    </r>
    <r>
      <rPr>
        <sz val="14"/>
        <color theme="1"/>
        <rFont val="Calibri"/>
        <family val="2"/>
        <scheme val="minor"/>
      </rPr>
      <t xml:space="preserve"> The label is the best source of information on: registered crop uses, rates, days to harvest, compatibility with other pesticides, toxicity and other special information on its effective and safe use. Dalhousie University and WBPANS does not make any representations as to the accuracy of the Tool, and specifically disclaims all warranties, expressed or implied, with respect to its use. Dalhousie University and WBPANS does not assume any liability for any losses caused by the use of a pesticide mentioned in this Tool, including without limitation crop loss, animal loss, or health, safety or environmental hazard. By accessing, printing, or using this Tool each user agrees to release, waive, and hold harmless Dalhousie University and WBPANS from all liability or claims for loss however incurred.
</t>
    </r>
    <r>
      <rPr>
        <b/>
        <sz val="18"/>
        <color theme="1"/>
        <rFont val="Calibri"/>
        <family val="2"/>
        <scheme val="minor"/>
      </rPr>
      <t xml:space="preserve">WARNING </t>
    </r>
    <r>
      <rPr>
        <sz val="14"/>
        <color theme="1"/>
        <rFont val="Calibri"/>
        <family val="2"/>
        <scheme val="minor"/>
      </rPr>
      <t xml:space="preserve">
</t>
    </r>
    <r>
      <rPr>
        <b/>
        <sz val="14"/>
        <color theme="1"/>
        <rFont val="Calibri"/>
        <family val="2"/>
        <scheme val="minor"/>
      </rPr>
      <t xml:space="preserve">This Tool is meant to be used only as a reference for input costs related to wild blueberry production. </t>
    </r>
    <r>
      <rPr>
        <sz val="14"/>
        <color theme="1"/>
        <rFont val="Calibri"/>
        <family val="2"/>
        <scheme val="minor"/>
      </rPr>
      <t xml:space="preserve">Where there are brand names of a specific active ingredient registered in Canada, they are for reference purpose only and as such do not form an endorsement of one brand over another. If you have used or have purchased a generic product not specifically in this Tool but the generic product has your crop and pest on the label, always follow that product label. </t>
    </r>
    <r>
      <rPr>
        <b/>
        <sz val="14"/>
        <color theme="1"/>
        <rFont val="Calibri"/>
        <family val="2"/>
        <scheme val="minor"/>
      </rPr>
      <t>If any information in this Tool or any other publication conflicts with the information on the label, always use the label recommendation. Pesticides are only to be used in an approved manor and that are in accordance with that of the buyer/processor.</t>
    </r>
    <r>
      <rPr>
        <sz val="14"/>
        <color theme="1"/>
        <rFont val="Calibri"/>
        <family val="2"/>
        <scheme val="minor"/>
      </rPr>
      <t xml:space="preserve">
</t>
    </r>
  </si>
  <si>
    <t>BB producers dues</t>
  </si>
  <si>
    <t>9-30-11 (Mesz)</t>
  </si>
  <si>
    <t>/Kg</t>
  </si>
  <si>
    <t>Kg/acre</t>
  </si>
  <si>
    <t>12-22-15 (Mesz)</t>
  </si>
  <si>
    <t>11-52-0 (MAP)</t>
  </si>
  <si>
    <t>18-46-0 (DAP)</t>
  </si>
  <si>
    <t>Calcium (foliar)</t>
  </si>
  <si>
    <t>/L</t>
  </si>
  <si>
    <t>L/acre</t>
  </si>
  <si>
    <t>Zinc (foliar)</t>
  </si>
  <si>
    <t>Boron (foliar)</t>
  </si>
  <si>
    <t>Iron (foliar)</t>
  </si>
  <si>
    <t>Magnesium (foliar)</t>
  </si>
  <si>
    <t>Velpar DF</t>
  </si>
  <si>
    <t>Venture L</t>
  </si>
  <si>
    <t>Poast Ultra</t>
  </si>
  <si>
    <t>Merge</t>
  </si>
  <si>
    <t>Option 2.25 OD</t>
  </si>
  <si>
    <t>UAN</t>
  </si>
  <si>
    <t>Callisto 480 SC</t>
  </si>
  <si>
    <t>Chateau WDG</t>
  </si>
  <si>
    <t>Ignite 15 SN</t>
  </si>
  <si>
    <t>Spartan 75 DF</t>
  </si>
  <si>
    <t>Authority 480</t>
  </si>
  <si>
    <t>Bravo Zn</t>
  </si>
  <si>
    <t>Proline 480 SC</t>
  </si>
  <si>
    <t>Tilt 250 E</t>
  </si>
  <si>
    <t>Allegro 500 F</t>
  </si>
  <si>
    <t>Pivot 418</t>
  </si>
  <si>
    <t>Fontellis</t>
  </si>
  <si>
    <t>Quilt</t>
  </si>
  <si>
    <t>Pristine WG</t>
  </si>
  <si>
    <t>Assail 70 WP</t>
  </si>
  <si>
    <t>Success 480 SC</t>
  </si>
  <si>
    <t>Sevin XLR</t>
  </si>
  <si>
    <t>1 quad/acre → $350</t>
  </si>
  <si>
    <t>Imidan 70 WP</t>
  </si>
  <si>
    <t xml:space="preserve">Land levelling </t>
  </si>
  <si>
    <t xml:space="preserve">Seminars </t>
  </si>
  <si>
    <t>Seminars</t>
  </si>
  <si>
    <t>Land levelling</t>
  </si>
  <si>
    <t>Office, bookkeeping</t>
  </si>
  <si>
    <t>Office supplies &amp; bookkeeping</t>
  </si>
  <si>
    <t>Break even</t>
  </si>
  <si>
    <t xml:space="preserve">Break even </t>
  </si>
  <si>
    <t>Year</t>
  </si>
  <si>
    <t>Total expenses</t>
  </si>
  <si>
    <t>Outputs</t>
  </si>
  <si>
    <t>Inputs</t>
  </si>
  <si>
    <t>Min yield</t>
  </si>
  <si>
    <t>Avg yield</t>
  </si>
  <si>
    <t>Max yield</t>
  </si>
  <si>
    <t>Min revenue</t>
  </si>
  <si>
    <t>Avg revenue</t>
  </si>
  <si>
    <t>Max revenue</t>
  </si>
  <si>
    <t>Yield</t>
  </si>
  <si>
    <t>Field revenue</t>
  </si>
  <si>
    <t>Summary</t>
  </si>
  <si>
    <t>Sercadis</t>
  </si>
  <si>
    <t>Cabrio EG</t>
  </si>
  <si>
    <t>Aprovia</t>
  </si>
  <si>
    <t>Luna Tranquility</t>
  </si>
  <si>
    <t>Casoron 4G</t>
  </si>
  <si>
    <t>Ultim Grande DF</t>
  </si>
  <si>
    <t>Captan 80 WSP</t>
  </si>
  <si>
    <t>Merivon</t>
  </si>
  <si>
    <t>Decis EC 100</t>
  </si>
  <si>
    <t>Cormoran</t>
  </si>
  <si>
    <t>Malathion 85 EC</t>
  </si>
  <si>
    <t>November 19, 2021</t>
  </si>
  <si>
    <t>© Copyright by Dr. Travis J. Esau, 2021</t>
  </si>
  <si>
    <r>
      <t>Chikara-</t>
    </r>
    <r>
      <rPr>
        <sz val="10"/>
        <color rgb="FFFF0000"/>
        <rFont val="Calibri"/>
        <family val="2"/>
        <scheme val="minor"/>
      </rPr>
      <t>pending registration</t>
    </r>
  </si>
  <si>
    <t>1 hive/acre → $150</t>
  </si>
  <si>
    <r>
      <t xml:space="preserve">             Wild Blueberry Management Tool - </t>
    </r>
    <r>
      <rPr>
        <b/>
        <u/>
        <sz val="16"/>
        <color theme="1"/>
        <rFont val="Calibri"/>
        <family val="2"/>
        <scheme val="minor"/>
      </rPr>
      <t xml:space="preserve">v1.4 NS  </t>
    </r>
    <r>
      <rPr>
        <b/>
        <u/>
        <sz val="22"/>
        <color theme="1"/>
        <rFont val="Calibri"/>
        <family val="2"/>
        <scheme val="minor"/>
      </rPr>
      <t xml:space="preserve">            </t>
    </r>
  </si>
  <si>
    <t>2021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</si>
</sst>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_-&quot;$&quot;* #,##0.000_-;\-&quot;$&quot;* #,##0.000_-;_-&quot;$&quot;* &quot;-&quot;???_-;_-@_-"/>
    <numFmt numFmtId="166" formatCode="_-* #,##0.0000_-;\-* #,##0.0000_-;_-* &quot;-&quot;????_-;_-@_-"/>
    <numFmt numFmtId="167" formatCode="_-* #,##0.0_-;\-* #,##0.0_-;_-* &quot;-&quot;?_-;_-@_-"/>
    <numFmt numFmtId="168" formatCode="&quot;$&quot;#,##0.00"/>
    <numFmt numFmtId="169" formatCode="&quot;$&quot;#,##0.000;\-&quot;$&quot;#,##0.000"/>
  </numFmts>
  <fonts count="30" x14ac:knownFonts="1">
    <font>
      <sz val="11"/>
      <color theme="1"/>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b/>
      <sz val="24"/>
      <color theme="1"/>
      <name val="Calibri"/>
      <family val="2"/>
      <scheme val="minor"/>
    </font>
    <font>
      <sz val="11"/>
      <name val="Calibri"/>
      <family val="2"/>
      <scheme val="minor"/>
    </font>
    <font>
      <b/>
      <sz val="22"/>
      <color theme="1"/>
      <name val="Calibri"/>
      <family val="2"/>
      <scheme val="minor"/>
    </font>
    <font>
      <b/>
      <sz val="11"/>
      <color rgb="FFFFFF00"/>
      <name val="Calibri"/>
      <family val="2"/>
      <scheme val="minor"/>
    </font>
    <font>
      <b/>
      <u/>
      <sz val="22"/>
      <color theme="1"/>
      <name val="Calibri"/>
      <family val="2"/>
      <scheme val="minor"/>
    </font>
    <font>
      <sz val="20"/>
      <color theme="1"/>
      <name val="Calibri"/>
      <family val="2"/>
      <scheme val="minor"/>
    </font>
    <font>
      <sz val="26"/>
      <color theme="1"/>
      <name val="Calibri"/>
      <family val="2"/>
      <scheme val="minor"/>
    </font>
    <font>
      <sz val="10"/>
      <color theme="1"/>
      <name val="Calibri"/>
      <family val="2"/>
      <scheme val="minor"/>
    </font>
    <font>
      <sz val="10"/>
      <name val="Calibri"/>
      <family val="2"/>
      <scheme val="minor"/>
    </font>
    <font>
      <sz val="11"/>
      <color theme="0"/>
      <name val="Calibri"/>
      <family val="2"/>
      <scheme val="minor"/>
    </font>
    <font>
      <b/>
      <sz val="10"/>
      <color theme="1"/>
      <name val="Calibri"/>
      <family val="2"/>
      <scheme val="minor"/>
    </font>
    <font>
      <sz val="11"/>
      <color rgb="FF000000"/>
      <name val="Calibri"/>
      <family val="2"/>
      <scheme val="minor"/>
    </font>
    <font>
      <b/>
      <sz val="8"/>
      <color theme="1"/>
      <name val="Calibri"/>
      <family val="2"/>
      <scheme val="minor"/>
    </font>
    <font>
      <sz val="10"/>
      <color rgb="FFFFFF00"/>
      <name val="Calibri"/>
      <family val="2"/>
      <scheme val="minor"/>
    </font>
    <font>
      <sz val="20"/>
      <color rgb="FF000000"/>
      <name val="Calibri"/>
      <family val="2"/>
      <scheme val="minor"/>
    </font>
    <font>
      <u/>
      <sz val="11"/>
      <color theme="10"/>
      <name val="Calibri"/>
      <family val="2"/>
      <scheme val="minor"/>
    </font>
    <font>
      <u/>
      <sz val="24"/>
      <color theme="10"/>
      <name val="Calibri"/>
      <family val="2"/>
      <scheme val="minor"/>
    </font>
    <font>
      <sz val="24"/>
      <color theme="1"/>
      <name val="Calibri"/>
      <family val="2"/>
      <scheme val="minor"/>
    </font>
    <font>
      <b/>
      <sz val="10"/>
      <name val="Calibri"/>
      <family val="2"/>
      <scheme val="minor"/>
    </font>
    <font>
      <b/>
      <sz val="10"/>
      <color rgb="FFFFFF00"/>
      <name val="Calibri"/>
      <family val="2"/>
      <scheme val="minor"/>
    </font>
    <font>
      <sz val="14"/>
      <color theme="1"/>
      <name val="Calibri"/>
      <family val="2"/>
      <scheme val="minor"/>
    </font>
    <font>
      <b/>
      <sz val="18"/>
      <color theme="1"/>
      <name val="Calibri"/>
      <family val="2"/>
      <scheme val="minor"/>
    </font>
    <font>
      <b/>
      <u/>
      <sz val="16"/>
      <color theme="1"/>
      <name val="Calibri"/>
      <family val="2"/>
      <scheme val="minor"/>
    </font>
    <font>
      <b/>
      <sz val="11"/>
      <name val="Calibri"/>
      <family val="2"/>
      <scheme val="minor"/>
    </font>
    <font>
      <sz val="11"/>
      <color theme="9" tint="0.79998168889431442"/>
      <name val="Calibri"/>
      <family val="2"/>
      <scheme val="minor"/>
    </font>
    <font>
      <sz val="10"/>
      <color rgb="FFFF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rgb="FFFFFFB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59999389629810485"/>
        <bgColor indexed="64"/>
      </patternFill>
    </fill>
  </fills>
  <borders count="58">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style="thick">
        <color auto="1"/>
      </top>
      <bottom style="thin">
        <color indexed="64"/>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ck">
        <color auto="1"/>
      </top>
      <bottom style="thin">
        <color auto="1"/>
      </bottom>
      <diagonal/>
    </border>
    <border>
      <left style="thin">
        <color auto="1"/>
      </left>
      <right/>
      <top style="thin">
        <color auto="1"/>
      </top>
      <bottom/>
      <diagonal/>
    </border>
    <border>
      <left style="thin">
        <color auto="1"/>
      </left>
      <right style="thin">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n">
        <color auto="1"/>
      </bottom>
      <diagonal/>
    </border>
    <border>
      <left style="thick">
        <color auto="1"/>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ck">
        <color auto="1"/>
      </top>
      <bottom style="thick">
        <color auto="1"/>
      </bottom>
      <diagonal/>
    </border>
    <border>
      <left style="thick">
        <color auto="1"/>
      </left>
      <right style="thin">
        <color auto="1"/>
      </right>
      <top/>
      <bottom style="thick">
        <color auto="1"/>
      </bottom>
      <diagonal/>
    </border>
    <border>
      <left style="thick">
        <color auto="1"/>
      </left>
      <right style="thick">
        <color auto="1"/>
      </right>
      <top/>
      <bottom/>
      <diagonal/>
    </border>
  </borders>
  <cellStyleXfs count="2">
    <xf numFmtId="0" fontId="0" fillId="0" borderId="0"/>
    <xf numFmtId="0" fontId="19" fillId="0" borderId="0" applyNumberFormat="0" applyFill="0" applyBorder="0" applyAlignment="0" applyProtection="0"/>
  </cellStyleXfs>
  <cellXfs count="414">
    <xf numFmtId="0" fontId="0" fillId="0" borderId="0" xfId="0"/>
    <xf numFmtId="0" fontId="0" fillId="0" borderId="0" xfId="0"/>
    <xf numFmtId="0" fontId="0" fillId="8" borderId="19" xfId="0" applyFill="1" applyBorder="1"/>
    <xf numFmtId="0" fontId="0" fillId="8" borderId="0" xfId="0" applyFill="1" applyBorder="1"/>
    <xf numFmtId="0" fontId="0" fillId="8" borderId="20" xfId="0" applyFill="1" applyBorder="1"/>
    <xf numFmtId="0" fontId="3" fillId="9" borderId="0" xfId="0" applyFont="1" applyFill="1"/>
    <xf numFmtId="0" fontId="0" fillId="9" borderId="0" xfId="0" applyFill="1" applyBorder="1"/>
    <xf numFmtId="0" fontId="0" fillId="9" borderId="22" xfId="0" applyFill="1" applyBorder="1"/>
    <xf numFmtId="0" fontId="0" fillId="9" borderId="20" xfId="0" applyFill="1" applyBorder="1"/>
    <xf numFmtId="0" fontId="1" fillId="2" borderId="34" xfId="0" applyFont="1" applyFill="1" applyBorder="1" applyAlignment="1">
      <alignment horizontal="center" vertical="center"/>
    </xf>
    <xf numFmtId="0" fontId="0" fillId="9" borderId="0" xfId="0" applyFill="1"/>
    <xf numFmtId="0" fontId="0" fillId="11" borderId="0" xfId="0" applyFill="1"/>
    <xf numFmtId="0" fontId="0" fillId="4" borderId="19" xfId="0" applyFill="1" applyBorder="1"/>
    <xf numFmtId="0" fontId="0" fillId="4" borderId="0"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9" fillId="10" borderId="11" xfId="0" applyFont="1" applyFill="1" applyBorder="1" applyAlignment="1"/>
    <xf numFmtId="0" fontId="9" fillId="4" borderId="16" xfId="0" applyFont="1" applyFill="1" applyBorder="1" applyAlignment="1"/>
    <xf numFmtId="0" fontId="0" fillId="11" borderId="0" xfId="0" applyFill="1" applyAlignment="1">
      <alignment horizontal="left" vertical="center"/>
    </xf>
    <xf numFmtId="0" fontId="0" fillId="4" borderId="0" xfId="0" applyFill="1" applyBorder="1" applyAlignment="1">
      <alignment horizontal="left" vertical="center"/>
    </xf>
    <xf numFmtId="0" fontId="0" fillId="4" borderId="22" xfId="0" applyFill="1" applyBorder="1" applyAlignment="1">
      <alignment horizontal="left" vertical="center"/>
    </xf>
    <xf numFmtId="0" fontId="0" fillId="0" borderId="0" xfId="0" applyAlignment="1">
      <alignment horizontal="left" vertical="center"/>
    </xf>
    <xf numFmtId="0" fontId="9" fillId="4" borderId="17" xfId="0" applyFont="1" applyFill="1" applyBorder="1" applyAlignment="1"/>
    <xf numFmtId="0" fontId="9" fillId="4" borderId="18" xfId="0" applyFont="1" applyFill="1" applyBorder="1" applyAlignment="1"/>
    <xf numFmtId="0" fontId="9" fillId="9" borderId="0" xfId="0" applyFont="1" applyFill="1" applyAlignment="1">
      <alignment vertical="center"/>
    </xf>
    <xf numFmtId="0" fontId="9" fillId="0" borderId="0" xfId="0" applyFont="1" applyAlignment="1">
      <alignment vertical="center"/>
    </xf>
    <xf numFmtId="0" fontId="0" fillId="12" borderId="16" xfId="0" applyFill="1" applyBorder="1"/>
    <xf numFmtId="0" fontId="0" fillId="12" borderId="18" xfId="0" applyFill="1" applyBorder="1"/>
    <xf numFmtId="0" fontId="0" fillId="12" borderId="20" xfId="0" applyFill="1" applyBorder="1"/>
    <xf numFmtId="0" fontId="0" fillId="12" borderId="23" xfId="0" applyFill="1" applyBorder="1"/>
    <xf numFmtId="0" fontId="0" fillId="12" borderId="19" xfId="0" applyFill="1" applyBorder="1"/>
    <xf numFmtId="0" fontId="0" fillId="12" borderId="21" xfId="0" applyFill="1" applyBorder="1"/>
    <xf numFmtId="0" fontId="0" fillId="9" borderId="0" xfId="0" applyFill="1" applyAlignment="1" applyProtection="1">
      <alignment horizontal="center"/>
    </xf>
    <xf numFmtId="0" fontId="0" fillId="11" borderId="0" xfId="0" applyFill="1" applyProtection="1"/>
    <xf numFmtId="0" fontId="0" fillId="11" borderId="0" xfId="0" applyFill="1" applyAlignment="1" applyProtection="1">
      <alignment horizontal="left" vertical="center"/>
    </xf>
    <xf numFmtId="0" fontId="0" fillId="9" borderId="0" xfId="0" applyFill="1" applyBorder="1" applyProtection="1"/>
    <xf numFmtId="0" fontId="3" fillId="9" borderId="0" xfId="0" applyFont="1" applyFill="1" applyProtection="1"/>
    <xf numFmtId="0" fontId="0" fillId="9" borderId="0" xfId="0" applyFill="1" applyProtection="1"/>
    <xf numFmtId="0" fontId="6" fillId="8" borderId="0" xfId="0" applyFont="1" applyFill="1" applyBorder="1" applyAlignment="1">
      <alignment horizontal="left" vertical="top"/>
    </xf>
    <xf numFmtId="0" fontId="4" fillId="8" borderId="20" xfId="0" applyFont="1" applyFill="1" applyBorder="1" applyAlignment="1">
      <alignment vertical="center"/>
    </xf>
    <xf numFmtId="0" fontId="8" fillId="8" borderId="0" xfId="0" applyFont="1" applyFill="1" applyBorder="1" applyAlignment="1">
      <alignment horizontal="left" vertical="top"/>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3" fontId="11" fillId="5" borderId="7" xfId="0" applyNumberFormat="1" applyFont="1" applyFill="1" applyBorder="1" applyAlignment="1">
      <alignment horizontal="center"/>
    </xf>
    <xf numFmtId="168" fontId="11" fillId="5" borderId="8" xfId="0" applyNumberFormat="1" applyFont="1" applyFill="1" applyBorder="1" applyAlignment="1">
      <alignment horizontal="center"/>
    </xf>
    <xf numFmtId="168" fontId="11" fillId="5" borderId="9" xfId="0" applyNumberFormat="1" applyFont="1" applyFill="1" applyBorder="1" applyAlignment="1">
      <alignment horizontal="center"/>
    </xf>
    <xf numFmtId="3" fontId="11" fillId="5" borderId="1" xfId="0" applyNumberFormat="1" applyFont="1" applyFill="1" applyBorder="1" applyAlignment="1">
      <alignment horizontal="center"/>
    </xf>
    <xf numFmtId="168" fontId="11" fillId="5" borderId="2" xfId="0" applyNumberFormat="1" applyFont="1" applyFill="1" applyBorder="1" applyAlignment="1">
      <alignment horizontal="center"/>
    </xf>
    <xf numFmtId="168" fontId="11" fillId="5" borderId="3" xfId="0" applyNumberFormat="1" applyFont="1" applyFill="1" applyBorder="1" applyAlignment="1">
      <alignment horizontal="center"/>
    </xf>
    <xf numFmtId="3" fontId="11" fillId="5" borderId="4" xfId="0" applyNumberFormat="1" applyFont="1" applyFill="1" applyBorder="1" applyAlignment="1">
      <alignment horizontal="center"/>
    </xf>
    <xf numFmtId="168" fontId="11" fillId="5" borderId="5" xfId="0" applyNumberFormat="1" applyFont="1" applyFill="1" applyBorder="1" applyAlignment="1">
      <alignment horizontal="center"/>
    </xf>
    <xf numFmtId="168" fontId="11" fillId="5" borderId="6" xfId="0" applyNumberFormat="1" applyFont="1" applyFill="1" applyBorder="1" applyAlignment="1">
      <alignment horizontal="center"/>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26" xfId="0" applyFont="1" applyFill="1" applyBorder="1" applyAlignment="1">
      <alignment horizontal="center"/>
    </xf>
    <xf numFmtId="0" fontId="11" fillId="4" borderId="27" xfId="0" applyFont="1" applyFill="1" applyBorder="1" applyAlignment="1">
      <alignment horizontal="center"/>
    </xf>
    <xf numFmtId="0" fontId="11" fillId="4" borderId="28" xfId="0" applyFont="1" applyFill="1" applyBorder="1" applyAlignment="1">
      <alignment horizontal="center"/>
    </xf>
    <xf numFmtId="0" fontId="11" fillId="5" borderId="1" xfId="0" applyFont="1" applyFill="1" applyBorder="1" applyAlignment="1">
      <alignment horizontal="center"/>
    </xf>
    <xf numFmtId="0" fontId="11" fillId="5" borderId="4" xfId="0" applyFont="1" applyFill="1" applyBorder="1" applyAlignment="1">
      <alignment horizontal="center"/>
    </xf>
    <xf numFmtId="168" fontId="11" fillId="5" borderId="24" xfId="0" applyNumberFormat="1" applyFont="1" applyFill="1" applyBorder="1" applyAlignment="1">
      <alignment horizontal="center"/>
    </xf>
    <xf numFmtId="168" fontId="11" fillId="5" borderId="25" xfId="0" applyNumberFormat="1" applyFont="1" applyFill="1" applyBorder="1" applyAlignment="1">
      <alignment horizontal="center"/>
    </xf>
    <xf numFmtId="0" fontId="11" fillId="4" borderId="36" xfId="0" applyFont="1" applyFill="1" applyBorder="1" applyAlignment="1">
      <alignment horizontal="center"/>
    </xf>
    <xf numFmtId="0" fontId="11" fillId="4" borderId="35" xfId="0" applyFont="1" applyFill="1" applyBorder="1" applyAlignment="1">
      <alignment horizontal="center"/>
    </xf>
    <xf numFmtId="0" fontId="11" fillId="4" borderId="44" xfId="0" applyFont="1" applyFill="1" applyBorder="1" applyAlignment="1">
      <alignment horizontal="center"/>
    </xf>
    <xf numFmtId="0" fontId="1" fillId="2" borderId="43" xfId="0" applyFont="1" applyFill="1" applyBorder="1" applyAlignment="1">
      <alignment horizontal="center"/>
    </xf>
    <xf numFmtId="0" fontId="17" fillId="9" borderId="0" xfId="0" applyFont="1" applyFill="1"/>
    <xf numFmtId="0" fontId="0" fillId="8" borderId="0" xfId="0" applyFill="1"/>
    <xf numFmtId="0" fontId="3" fillId="9" borderId="19" xfId="0" applyFont="1" applyFill="1" applyBorder="1"/>
    <xf numFmtId="0" fontId="11" fillId="6" borderId="7" xfId="0" applyFont="1" applyFill="1" applyBorder="1" applyAlignment="1">
      <alignment horizontal="left" vertical="center"/>
    </xf>
    <xf numFmtId="0" fontId="11" fillId="7" borderId="8" xfId="0" applyFont="1" applyFill="1" applyBorder="1" applyAlignment="1" applyProtection="1">
      <alignment horizontal="right" vertical="center"/>
      <protection locked="0"/>
    </xf>
    <xf numFmtId="0" fontId="11" fillId="6" borderId="8" xfId="0" applyFont="1" applyFill="1" applyBorder="1" applyAlignment="1">
      <alignment horizontal="left" vertical="center"/>
    </xf>
    <xf numFmtId="0" fontId="11" fillId="6" borderId="1" xfId="0" applyFont="1" applyFill="1" applyBorder="1" applyAlignment="1">
      <alignment horizontal="left" vertical="center"/>
    </xf>
    <xf numFmtId="0" fontId="11" fillId="7" borderId="2" xfId="0" applyFont="1" applyFill="1" applyBorder="1" applyAlignment="1" applyProtection="1">
      <alignment horizontal="right" vertical="center"/>
      <protection locked="0"/>
    </xf>
    <xf numFmtId="0" fontId="11" fillId="6" borderId="2" xfId="0" applyFont="1" applyFill="1" applyBorder="1" applyAlignment="1">
      <alignment horizontal="left" vertical="center"/>
    </xf>
    <xf numFmtId="7" fontId="11" fillId="7" borderId="2" xfId="0" applyNumberFormat="1" applyFont="1" applyFill="1" applyBorder="1" applyAlignment="1" applyProtection="1">
      <alignment horizontal="right" vertical="center"/>
      <protection locked="0"/>
    </xf>
    <xf numFmtId="164" fontId="11" fillId="7" borderId="2" xfId="0" applyNumberFormat="1" applyFont="1" applyFill="1" applyBorder="1" applyAlignment="1" applyProtection="1">
      <alignment horizontal="right" vertical="center"/>
      <protection locked="0"/>
    </xf>
    <xf numFmtId="0" fontId="11" fillId="7" borderId="30" xfId="0" applyFont="1" applyFill="1" applyBorder="1" applyAlignment="1" applyProtection="1">
      <alignment horizontal="right" vertical="center"/>
      <protection locked="0"/>
    </xf>
    <xf numFmtId="0" fontId="11" fillId="9" borderId="31" xfId="0" applyFont="1" applyFill="1" applyBorder="1" applyAlignment="1">
      <alignment horizontal="left" vertical="center"/>
    </xf>
    <xf numFmtId="0" fontId="12" fillId="6" borderId="2" xfId="0" applyFont="1" applyFill="1" applyBorder="1" applyAlignment="1">
      <alignment horizontal="left" vertical="center"/>
    </xf>
    <xf numFmtId="0" fontId="11" fillId="6" borderId="33" xfId="0" applyFont="1" applyFill="1" applyBorder="1" applyAlignment="1">
      <alignment vertical="center"/>
    </xf>
    <xf numFmtId="44" fontId="11" fillId="4" borderId="9" xfId="0" applyNumberFormat="1" applyFont="1" applyFill="1" applyBorder="1" applyAlignment="1">
      <alignment vertical="center"/>
    </xf>
    <xf numFmtId="0" fontId="11" fillId="6" borderId="1" xfId="0" applyFont="1" applyFill="1" applyBorder="1" applyAlignment="1">
      <alignment vertical="center"/>
    </xf>
    <xf numFmtId="44" fontId="11" fillId="4" borderId="3" xfId="0" applyNumberFormat="1" applyFont="1" applyFill="1" applyBorder="1" applyAlignment="1">
      <alignment vertical="center"/>
    </xf>
    <xf numFmtId="0" fontId="14" fillId="6" borderId="4" xfId="0" applyFont="1" applyFill="1" applyBorder="1" applyAlignment="1">
      <alignment vertical="center"/>
    </xf>
    <xf numFmtId="44" fontId="11" fillId="4" borderId="6" xfId="0" applyNumberFormat="1" applyFont="1" applyFill="1" applyBorder="1" applyAlignment="1">
      <alignment vertical="center"/>
    </xf>
    <xf numFmtId="0" fontId="11" fillId="6" borderId="7" xfId="0" applyFont="1" applyFill="1" applyBorder="1" applyAlignment="1">
      <alignment vertical="center"/>
    </xf>
    <xf numFmtId="44" fontId="11" fillId="4" borderId="2" xfId="0" applyNumberFormat="1" applyFont="1" applyFill="1" applyBorder="1" applyAlignment="1">
      <alignment horizontal="right" vertical="center"/>
    </xf>
    <xf numFmtId="0" fontId="11" fillId="6" borderId="9" xfId="0" applyFont="1" applyFill="1" applyBorder="1" applyAlignment="1">
      <alignment vertical="center"/>
    </xf>
    <xf numFmtId="0" fontId="11" fillId="4" borderId="8" xfId="0" applyFont="1" applyFill="1" applyBorder="1" applyAlignment="1">
      <alignment vertical="center"/>
    </xf>
    <xf numFmtId="0" fontId="11" fillId="4" borderId="2" xfId="0" applyFont="1" applyFill="1" applyBorder="1" applyAlignment="1">
      <alignment vertical="center"/>
    </xf>
    <xf numFmtId="0" fontId="11" fillId="6" borderId="3" xfId="0" applyFont="1" applyFill="1" applyBorder="1" applyAlignment="1">
      <alignment vertical="center"/>
    </xf>
    <xf numFmtId="41" fontId="11" fillId="4" borderId="2" xfId="0" applyNumberFormat="1" applyFont="1" applyFill="1" applyBorder="1" applyAlignment="1">
      <alignment vertical="center"/>
    </xf>
    <xf numFmtId="44" fontId="11" fillId="4" borderId="2" xfId="0" applyNumberFormat="1" applyFont="1" applyFill="1" applyBorder="1" applyAlignment="1">
      <alignment vertical="center"/>
    </xf>
    <xf numFmtId="0" fontId="11" fillId="6" borderId="26" xfId="0" applyFont="1" applyFill="1" applyBorder="1" applyAlignment="1">
      <alignment vertical="center"/>
    </xf>
    <xf numFmtId="44" fontId="11" fillId="4" borderId="27" xfId="0" applyNumberFormat="1" applyFont="1" applyFill="1" applyBorder="1" applyAlignment="1">
      <alignment vertical="center"/>
    </xf>
    <xf numFmtId="0" fontId="11" fillId="6" borderId="28" xfId="0" applyFont="1" applyFill="1" applyBorder="1" applyAlignment="1">
      <alignment vertical="center"/>
    </xf>
    <xf numFmtId="44" fontId="11" fillId="7" borderId="2" xfId="0" applyNumberFormat="1" applyFont="1" applyFill="1" applyBorder="1" applyAlignment="1" applyProtection="1">
      <alignment vertical="center"/>
      <protection locked="0"/>
    </xf>
    <xf numFmtId="0" fontId="1" fillId="10" borderId="33" xfId="0" applyFont="1" applyFill="1" applyBorder="1" applyAlignment="1">
      <alignment horizontal="center" vertical="center"/>
    </xf>
    <xf numFmtId="0" fontId="1" fillId="10" borderId="29" xfId="0" applyFont="1" applyFill="1" applyBorder="1" applyAlignment="1">
      <alignment horizontal="center" vertical="center"/>
    </xf>
    <xf numFmtId="0" fontId="0" fillId="10" borderId="34" xfId="0" applyFill="1" applyBorder="1" applyAlignment="1">
      <alignment vertical="center"/>
    </xf>
    <xf numFmtId="0" fontId="11" fillId="8" borderId="2" xfId="0" applyFont="1" applyFill="1" applyBorder="1" applyAlignment="1" applyProtection="1">
      <alignment vertical="center"/>
    </xf>
    <xf numFmtId="44" fontId="11" fillId="8" borderId="2" xfId="0" applyNumberFormat="1" applyFont="1" applyFill="1" applyBorder="1" applyAlignment="1" applyProtection="1">
      <alignment vertical="center"/>
    </xf>
    <xf numFmtId="0" fontId="11" fillId="8" borderId="2" xfId="0" applyFont="1" applyFill="1" applyBorder="1" applyAlignment="1">
      <alignment vertical="center"/>
    </xf>
    <xf numFmtId="44" fontId="11" fillId="8" borderId="3" xfId="0" applyNumberFormat="1" applyFont="1" applyFill="1" applyBorder="1" applyAlignment="1">
      <alignment vertical="center"/>
    </xf>
    <xf numFmtId="44" fontId="11" fillId="7" borderId="5" xfId="0" applyNumberFormat="1" applyFont="1" applyFill="1" applyBorder="1" applyAlignment="1" applyProtection="1">
      <alignment vertical="center"/>
      <protection locked="0"/>
    </xf>
    <xf numFmtId="0" fontId="11" fillId="7" borderId="5" xfId="0" applyFont="1" applyFill="1" applyBorder="1" applyAlignment="1" applyProtection="1">
      <alignment vertical="center"/>
      <protection locked="0"/>
    </xf>
    <xf numFmtId="44" fontId="11" fillId="8" borderId="5" xfId="0" applyNumberFormat="1" applyFont="1" applyFill="1" applyBorder="1" applyAlignment="1" applyProtection="1">
      <alignment vertical="center"/>
    </xf>
    <xf numFmtId="0" fontId="11" fillId="8" borderId="5" xfId="0" applyFont="1" applyFill="1" applyBorder="1" applyAlignment="1">
      <alignment vertical="center"/>
    </xf>
    <xf numFmtId="0" fontId="17" fillId="9" borderId="0" xfId="0" applyFont="1" applyFill="1" applyAlignment="1">
      <alignment vertical="center"/>
    </xf>
    <xf numFmtId="0" fontId="14" fillId="8" borderId="4" xfId="0" applyFont="1" applyFill="1" applyBorder="1" applyAlignment="1">
      <alignment horizontal="right" vertical="center"/>
    </xf>
    <xf numFmtId="0" fontId="11" fillId="8" borderId="38" xfId="0" applyFont="1" applyFill="1" applyBorder="1" applyAlignment="1" applyProtection="1">
      <alignment vertical="center"/>
    </xf>
    <xf numFmtId="44" fontId="11" fillId="8" borderId="38" xfId="0" applyNumberFormat="1" applyFont="1" applyFill="1" applyBorder="1" applyAlignment="1" applyProtection="1">
      <alignment vertical="center"/>
    </xf>
    <xf numFmtId="0" fontId="11" fillId="8" borderId="5" xfId="0" applyFont="1" applyFill="1" applyBorder="1" applyAlignment="1" applyProtection="1">
      <alignment vertical="center"/>
    </xf>
    <xf numFmtId="0" fontId="11" fillId="8" borderId="38" xfId="0" applyFont="1" applyFill="1" applyBorder="1" applyAlignment="1">
      <alignment vertical="center"/>
    </xf>
    <xf numFmtId="0" fontId="3" fillId="9" borderId="0" xfId="0" applyFont="1" applyFill="1" applyAlignment="1">
      <alignment vertical="center"/>
    </xf>
    <xf numFmtId="0" fontId="1" fillId="10" borderId="7" xfId="0" applyFont="1" applyFill="1" applyBorder="1" applyAlignment="1">
      <alignment horizontal="center" vertical="center"/>
    </xf>
    <xf numFmtId="0" fontId="1" fillId="10" borderId="8" xfId="0" applyFont="1" applyFill="1" applyBorder="1" applyAlignment="1">
      <alignment horizontal="center" vertical="center"/>
    </xf>
    <xf numFmtId="0" fontId="11" fillId="8" borderId="1" xfId="0" applyFont="1" applyFill="1" applyBorder="1" applyAlignment="1">
      <alignment vertical="center"/>
    </xf>
    <xf numFmtId="44" fontId="11" fillId="4" borderId="5" xfId="0" applyNumberFormat="1" applyFont="1" applyFill="1" applyBorder="1" applyAlignment="1">
      <alignment vertical="center"/>
    </xf>
    <xf numFmtId="0" fontId="11" fillId="8" borderId="6" xfId="0" applyFont="1" applyFill="1" applyBorder="1" applyAlignment="1">
      <alignment vertical="center"/>
    </xf>
    <xf numFmtId="0" fontId="11" fillId="8" borderId="37" xfId="0" applyFont="1" applyFill="1" applyBorder="1" applyAlignment="1">
      <alignment vertical="center"/>
    </xf>
    <xf numFmtId="0" fontId="11" fillId="8" borderId="39" xfId="0" applyFont="1" applyFill="1" applyBorder="1" applyAlignment="1">
      <alignment vertical="center"/>
    </xf>
    <xf numFmtId="0" fontId="12" fillId="8" borderId="1" xfId="0" applyFont="1" applyFill="1" applyBorder="1" applyAlignment="1">
      <alignment vertical="center"/>
    </xf>
    <xf numFmtId="0" fontId="11" fillId="8" borderId="4" xfId="0" applyFont="1" applyFill="1" applyBorder="1" applyAlignment="1">
      <alignment vertical="center"/>
    </xf>
    <xf numFmtId="0" fontId="11" fillId="8" borderId="3" xfId="0" applyFont="1" applyFill="1" applyBorder="1" applyAlignment="1">
      <alignment vertical="center"/>
    </xf>
    <xf numFmtId="44" fontId="11" fillId="8" borderId="5" xfId="0" applyNumberFormat="1" applyFont="1" applyFill="1" applyBorder="1" applyAlignment="1">
      <alignment vertical="center"/>
    </xf>
    <xf numFmtId="0" fontId="1" fillId="10" borderId="29" xfId="0" applyFont="1" applyFill="1" applyBorder="1" applyAlignment="1">
      <alignment vertical="center"/>
    </xf>
    <xf numFmtId="0" fontId="12" fillId="8" borderId="3" xfId="0" applyFont="1" applyFill="1" applyBorder="1" applyAlignment="1">
      <alignment vertical="center"/>
    </xf>
    <xf numFmtId="0" fontId="12" fillId="8" borderId="4" xfId="0" applyFont="1" applyFill="1" applyBorder="1" applyAlignment="1">
      <alignment vertical="center"/>
    </xf>
    <xf numFmtId="0" fontId="12" fillId="8" borderId="6" xfId="0" applyFont="1" applyFill="1" applyBorder="1" applyAlignment="1">
      <alignment vertical="center"/>
    </xf>
    <xf numFmtId="0" fontId="1" fillId="10" borderId="34" xfId="0" applyFont="1" applyFill="1" applyBorder="1" applyAlignment="1">
      <alignment horizontal="center" vertical="center"/>
    </xf>
    <xf numFmtId="0" fontId="11" fillId="8" borderId="32" xfId="0" applyFont="1" applyFill="1" applyBorder="1" applyAlignment="1">
      <alignment vertical="center"/>
    </xf>
    <xf numFmtId="0" fontId="3" fillId="9" borderId="0" xfId="0" applyFont="1" applyFill="1" applyAlignment="1" applyProtection="1">
      <alignment vertical="center"/>
      <protection locked="0"/>
    </xf>
    <xf numFmtId="0" fontId="3" fillId="9" borderId="0" xfId="0" applyFont="1" applyFill="1" applyAlignment="1" applyProtection="1">
      <alignment vertical="center"/>
    </xf>
    <xf numFmtId="0" fontId="1" fillId="10" borderId="34" xfId="0" applyFont="1" applyFill="1" applyBorder="1" applyAlignment="1">
      <alignment vertical="center"/>
    </xf>
    <xf numFmtId="0" fontId="1" fillId="10" borderId="9" xfId="0" applyFont="1" applyFill="1" applyBorder="1" applyAlignment="1">
      <alignment vertical="center"/>
    </xf>
    <xf numFmtId="44" fontId="11" fillId="4" borderId="29" xfId="0" applyNumberFormat="1" applyFont="1" applyFill="1" applyBorder="1" applyAlignment="1">
      <alignment vertical="center"/>
    </xf>
    <xf numFmtId="0" fontId="11" fillId="6" borderId="29" xfId="0" applyFont="1" applyFill="1" applyBorder="1" applyAlignment="1">
      <alignment vertical="center"/>
    </xf>
    <xf numFmtId="165" fontId="11" fillId="4" borderId="29" xfId="0" applyNumberFormat="1" applyFont="1" applyFill="1" applyBorder="1" applyAlignment="1">
      <alignment vertical="center"/>
    </xf>
    <xf numFmtId="43" fontId="12" fillId="4" borderId="29" xfId="0" applyNumberFormat="1" applyFont="1" applyFill="1" applyBorder="1" applyAlignment="1">
      <alignment vertical="center"/>
    </xf>
    <xf numFmtId="0" fontId="11" fillId="6" borderId="34" xfId="0" applyFont="1" applyFill="1" applyBorder="1" applyAlignment="1">
      <alignment vertical="center"/>
    </xf>
    <xf numFmtId="0" fontId="11" fillId="6" borderId="2" xfId="0" applyFont="1" applyFill="1" applyBorder="1" applyAlignment="1">
      <alignment vertical="center"/>
    </xf>
    <xf numFmtId="165" fontId="11" fillId="4" borderId="2" xfId="0" applyNumberFormat="1" applyFont="1" applyFill="1" applyBorder="1" applyAlignment="1">
      <alignment vertical="center"/>
    </xf>
    <xf numFmtId="43" fontId="12" fillId="4" borderId="2" xfId="0" applyNumberFormat="1" applyFont="1" applyFill="1" applyBorder="1" applyAlignment="1">
      <alignment vertical="center"/>
    </xf>
    <xf numFmtId="0" fontId="1" fillId="10" borderId="40" xfId="0" applyFont="1" applyFill="1" applyBorder="1" applyAlignment="1">
      <alignment horizontal="center" vertical="center"/>
    </xf>
    <xf numFmtId="44" fontId="11" fillId="4" borderId="30" xfId="0" applyNumberFormat="1" applyFont="1" applyFill="1" applyBorder="1" applyAlignment="1" applyProtection="1">
      <alignment vertical="center"/>
    </xf>
    <xf numFmtId="2" fontId="12" fillId="8" borderId="1" xfId="0" applyNumberFormat="1" applyFont="1" applyFill="1" applyBorder="1" applyAlignment="1">
      <alignment vertical="center"/>
    </xf>
    <xf numFmtId="0" fontId="11" fillId="6" borderId="5" xfId="0" applyFont="1" applyFill="1" applyBorder="1" applyAlignment="1">
      <alignment vertical="center"/>
    </xf>
    <xf numFmtId="165" fontId="11" fillId="4" borderId="5" xfId="0" applyNumberFormat="1" applyFont="1" applyFill="1" applyBorder="1" applyAlignment="1">
      <alignment vertical="center"/>
    </xf>
    <xf numFmtId="43" fontId="12" fillId="4" borderId="5" xfId="0" applyNumberFormat="1" applyFont="1" applyFill="1" applyBorder="1" applyAlignment="1">
      <alignment vertical="center"/>
    </xf>
    <xf numFmtId="0" fontId="11" fillId="6" borderId="6" xfId="0" applyFont="1" applyFill="1" applyBorder="1" applyAlignment="1">
      <alignment vertical="center"/>
    </xf>
    <xf numFmtId="2" fontId="12" fillId="8" borderId="4" xfId="0" applyNumberFormat="1" applyFont="1" applyFill="1" applyBorder="1" applyAlignment="1">
      <alignment vertical="center"/>
    </xf>
    <xf numFmtId="0" fontId="11" fillId="8" borderId="1" xfId="0" applyFont="1" applyFill="1" applyBorder="1" applyAlignment="1" applyProtection="1">
      <alignment horizontal="center" vertical="center"/>
      <protection locked="0"/>
    </xf>
    <xf numFmtId="0" fontId="11" fillId="8" borderId="2" xfId="0" applyFont="1" applyFill="1" applyBorder="1" applyAlignment="1" applyProtection="1">
      <alignment horizontal="center" vertical="center"/>
      <protection locked="0"/>
    </xf>
    <xf numFmtId="0" fontId="11" fillId="8" borderId="2" xfId="0" applyFont="1" applyFill="1" applyBorder="1" applyAlignment="1">
      <alignment horizontal="center" vertical="center"/>
    </xf>
    <xf numFmtId="0" fontId="11" fillId="8" borderId="4" xfId="0" applyFont="1" applyFill="1" applyBorder="1" applyAlignment="1" applyProtection="1">
      <alignment horizontal="center" vertical="center"/>
      <protection locked="0"/>
    </xf>
    <xf numFmtId="0" fontId="11" fillId="8" borderId="5" xfId="0" applyFont="1" applyFill="1" applyBorder="1" applyAlignment="1" applyProtection="1">
      <alignment horizontal="center" vertical="center"/>
      <protection locked="0"/>
    </xf>
    <xf numFmtId="0" fontId="11" fillId="8" borderId="1" xfId="0" applyFont="1" applyFill="1" applyBorder="1" applyAlignment="1">
      <alignment horizontal="left" vertical="center"/>
    </xf>
    <xf numFmtId="2" fontId="11" fillId="4" borderId="5" xfId="0" applyNumberFormat="1" applyFont="1" applyFill="1" applyBorder="1" applyAlignment="1">
      <alignment vertical="center"/>
    </xf>
    <xf numFmtId="0" fontId="0" fillId="0" borderId="0" xfId="0" applyAlignment="1">
      <alignment vertical="center"/>
    </xf>
    <xf numFmtId="0" fontId="0" fillId="9" borderId="0" xfId="0" applyFill="1" applyBorder="1" applyAlignment="1" applyProtection="1">
      <alignment vertical="center"/>
    </xf>
    <xf numFmtId="0" fontId="0" fillId="12" borderId="17" xfId="0" applyFill="1" applyBorder="1" applyAlignment="1">
      <alignment vertical="center"/>
    </xf>
    <xf numFmtId="0" fontId="0" fillId="12" borderId="0" xfId="0" applyFill="1" applyBorder="1" applyAlignment="1">
      <alignment vertical="center"/>
    </xf>
    <xf numFmtId="0" fontId="0" fillId="12" borderId="16" xfId="0" applyFill="1" applyBorder="1" applyAlignment="1">
      <alignment vertical="center"/>
    </xf>
    <xf numFmtId="0" fontId="11" fillId="8" borderId="33" xfId="0" applyFont="1" applyFill="1" applyBorder="1" applyAlignment="1">
      <alignment vertical="center"/>
    </xf>
    <xf numFmtId="0" fontId="11" fillId="7" borderId="29" xfId="0" applyNumberFormat="1" applyFont="1" applyFill="1" applyBorder="1" applyAlignment="1" applyProtection="1">
      <alignment vertical="center"/>
      <protection locked="0"/>
    </xf>
    <xf numFmtId="0" fontId="11" fillId="8" borderId="34" xfId="0" applyFont="1" applyFill="1" applyBorder="1" applyAlignment="1">
      <alignment vertical="center"/>
    </xf>
    <xf numFmtId="0" fontId="0" fillId="12" borderId="19" xfId="0" applyFill="1" applyBorder="1" applyAlignment="1">
      <alignment vertical="center"/>
    </xf>
    <xf numFmtId="167" fontId="11" fillId="4" borderId="5" xfId="0" applyNumberFormat="1" applyFont="1" applyFill="1" applyBorder="1" applyAlignment="1">
      <alignment vertical="center"/>
    </xf>
    <xf numFmtId="0" fontId="11" fillId="12" borderId="0" xfId="0" applyFont="1" applyFill="1" applyBorder="1" applyAlignment="1">
      <alignment vertical="center"/>
    </xf>
    <xf numFmtId="166" fontId="11" fillId="12" borderId="0" xfId="0" applyNumberFormat="1" applyFont="1" applyFill="1" applyBorder="1" applyAlignment="1">
      <alignment vertical="center"/>
    </xf>
    <xf numFmtId="167" fontId="11" fillId="12" borderId="0" xfId="0" applyNumberFormat="1" applyFont="1" applyFill="1" applyBorder="1" applyAlignment="1">
      <alignment vertical="center"/>
    </xf>
    <xf numFmtId="0" fontId="0" fillId="12" borderId="22" xfId="0" applyFill="1" applyBorder="1" applyAlignment="1">
      <alignment vertical="center"/>
    </xf>
    <xf numFmtId="0" fontId="0" fillId="12" borderId="21" xfId="0" applyFill="1" applyBorder="1" applyAlignment="1">
      <alignment vertical="center"/>
    </xf>
    <xf numFmtId="0" fontId="0" fillId="9" borderId="0" xfId="0" applyFill="1" applyBorder="1" applyAlignment="1">
      <alignment vertical="center"/>
    </xf>
    <xf numFmtId="0" fontId="11" fillId="7" borderId="4" xfId="0" applyFont="1" applyFill="1" applyBorder="1" applyAlignment="1" applyProtection="1">
      <alignment vertical="center"/>
      <protection locked="0"/>
    </xf>
    <xf numFmtId="0" fontId="12" fillId="7" borderId="2" xfId="0" applyFont="1" applyFill="1" applyBorder="1" applyAlignment="1" applyProtection="1">
      <alignment horizontal="center" vertical="center"/>
      <protection locked="0"/>
    </xf>
    <xf numFmtId="0" fontId="12" fillId="7" borderId="42" xfId="0" applyFont="1" applyFill="1" applyBorder="1" applyAlignment="1" applyProtection="1">
      <alignment horizontal="center" vertical="center"/>
      <protection locked="0"/>
    </xf>
    <xf numFmtId="0" fontId="11" fillId="6" borderId="29" xfId="0" applyFont="1" applyFill="1" applyBorder="1" applyAlignment="1" applyProtection="1">
      <alignment horizontal="left" vertical="center"/>
    </xf>
    <xf numFmtId="0" fontId="11" fillId="6" borderId="2" xfId="0" applyFont="1" applyFill="1" applyBorder="1" applyAlignment="1" applyProtection="1">
      <alignment horizontal="left" vertical="center"/>
    </xf>
    <xf numFmtId="0" fontId="8" fillId="8" borderId="16" xfId="0" applyFont="1" applyFill="1" applyBorder="1" applyAlignment="1">
      <alignment vertical="top"/>
    </xf>
    <xf numFmtId="0" fontId="8" fillId="8" borderId="17" xfId="0" applyFont="1" applyFill="1" applyBorder="1" applyAlignment="1">
      <alignment vertical="top"/>
    </xf>
    <xf numFmtId="0" fontId="8" fillId="8" borderId="18" xfId="0" applyFont="1" applyFill="1" applyBorder="1" applyAlignment="1">
      <alignment vertical="top"/>
    </xf>
    <xf numFmtId="0" fontId="8" fillId="8" borderId="19" xfId="0" applyFont="1" applyFill="1" applyBorder="1" applyAlignment="1">
      <alignment vertical="top"/>
    </xf>
    <xf numFmtId="0" fontId="8" fillId="8" borderId="0" xfId="0" applyFont="1" applyFill="1" applyBorder="1" applyAlignment="1">
      <alignment vertical="top"/>
    </xf>
    <xf numFmtId="0" fontId="8" fillId="8" borderId="20" xfId="0" applyFont="1" applyFill="1" applyBorder="1" applyAlignment="1">
      <alignment vertical="top"/>
    </xf>
    <xf numFmtId="0" fontId="0" fillId="9" borderId="23" xfId="0" applyFill="1" applyBorder="1"/>
    <xf numFmtId="0" fontId="11" fillId="8" borderId="2" xfId="0" applyFont="1" applyFill="1" applyBorder="1" applyAlignment="1" applyProtection="1">
      <alignment horizontal="center" vertical="center"/>
    </xf>
    <xf numFmtId="0" fontId="16" fillId="2" borderId="11" xfId="0" applyFont="1" applyFill="1" applyBorder="1" applyAlignment="1">
      <alignment horizontal="center" vertical="center"/>
    </xf>
    <xf numFmtId="0" fontId="16" fillId="2" borderId="55" xfId="0" applyFont="1" applyFill="1" applyBorder="1" applyAlignment="1">
      <alignment horizontal="center" vertical="center"/>
    </xf>
    <xf numFmtId="0" fontId="16" fillId="10" borderId="29" xfId="0" applyFont="1" applyFill="1" applyBorder="1" applyAlignment="1">
      <alignment horizontal="center" vertical="center"/>
    </xf>
    <xf numFmtId="0" fontId="11" fillId="8" borderId="5" xfId="0" applyFont="1" applyFill="1" applyBorder="1" applyAlignment="1" applyProtection="1">
      <alignment horizontal="center" vertical="center"/>
    </xf>
    <xf numFmtId="0" fontId="22" fillId="10"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2" borderId="4" xfId="0" applyFont="1" applyFill="1" applyBorder="1" applyAlignment="1">
      <alignment horizontal="center" vertical="center"/>
    </xf>
    <xf numFmtId="44" fontId="11" fillId="4" borderId="2" xfId="0" applyNumberFormat="1" applyFont="1" applyFill="1" applyBorder="1" applyAlignment="1" applyProtection="1">
      <alignment vertical="center"/>
    </xf>
    <xf numFmtId="44" fontId="11" fillId="4" borderId="5" xfId="0" applyNumberFormat="1" applyFont="1" applyFill="1" applyBorder="1" applyAlignment="1" applyProtection="1">
      <alignment vertical="center"/>
    </xf>
    <xf numFmtId="165" fontId="11" fillId="7" borderId="2" xfId="0" applyNumberFormat="1" applyFont="1" applyFill="1" applyBorder="1" applyAlignment="1" applyProtection="1">
      <alignment vertical="center"/>
      <protection locked="0"/>
    </xf>
    <xf numFmtId="165" fontId="11" fillId="7" borderId="5" xfId="0" applyNumberFormat="1" applyFont="1" applyFill="1" applyBorder="1" applyAlignment="1" applyProtection="1">
      <alignment vertical="center"/>
      <protection locked="0"/>
    </xf>
    <xf numFmtId="0" fontId="11" fillId="7" borderId="2" xfId="0" applyFont="1" applyFill="1" applyBorder="1" applyAlignment="1" applyProtection="1">
      <alignment vertical="center"/>
      <protection locked="0"/>
    </xf>
    <xf numFmtId="44" fontId="11" fillId="7" borderId="38" xfId="0" applyNumberFormat="1" applyFont="1" applyFill="1" applyBorder="1" applyAlignment="1" applyProtection="1">
      <alignment vertical="center"/>
      <protection locked="0"/>
    </xf>
    <xf numFmtId="0" fontId="11" fillId="7" borderId="38" xfId="0" applyFont="1" applyFill="1" applyBorder="1" applyAlignment="1" applyProtection="1">
      <alignment vertical="center"/>
      <protection locked="0"/>
    </xf>
    <xf numFmtId="0" fontId="12" fillId="6" borderId="29" xfId="0" applyFont="1" applyFill="1" applyBorder="1" applyAlignment="1" applyProtection="1">
      <alignment horizontal="left" vertical="center"/>
    </xf>
    <xf numFmtId="0" fontId="12" fillId="6" borderId="2" xfId="0" applyFont="1" applyFill="1" applyBorder="1" applyAlignment="1" applyProtection="1">
      <alignment horizontal="left" vertical="center"/>
    </xf>
    <xf numFmtId="0" fontId="11" fillId="6" borderId="29" xfId="0" applyFont="1" applyFill="1" applyBorder="1" applyAlignment="1" applyProtection="1">
      <alignment vertical="center"/>
    </xf>
    <xf numFmtId="0" fontId="11" fillId="6" borderId="2" xfId="0" applyFont="1" applyFill="1" applyBorder="1" applyAlignment="1" applyProtection="1">
      <alignment vertical="center"/>
    </xf>
    <xf numFmtId="0" fontId="11" fillId="6" borderId="34" xfId="0" applyFont="1" applyFill="1" applyBorder="1" applyAlignment="1" applyProtection="1">
      <alignment vertical="center"/>
    </xf>
    <xf numFmtId="0" fontId="11" fillId="6" borderId="3" xfId="0" applyFont="1" applyFill="1" applyBorder="1" applyAlignment="1" applyProtection="1">
      <alignment vertical="center"/>
    </xf>
    <xf numFmtId="0" fontId="0" fillId="8" borderId="22" xfId="0" applyFill="1" applyBorder="1" applyProtection="1"/>
    <xf numFmtId="0" fontId="14" fillId="10" borderId="29" xfId="0" applyFont="1" applyFill="1" applyBorder="1" applyAlignment="1">
      <alignment horizontal="center" vertical="center"/>
    </xf>
    <xf numFmtId="0" fontId="14" fillId="10" borderId="34" xfId="0" applyFont="1" applyFill="1" applyBorder="1" applyAlignment="1">
      <alignment horizontal="center" vertical="center"/>
    </xf>
    <xf numFmtId="0" fontId="11" fillId="6" borderId="1" xfId="0" applyFont="1" applyFill="1" applyBorder="1"/>
    <xf numFmtId="2" fontId="11" fillId="6" borderId="33" xfId="0" applyNumberFormat="1" applyFont="1" applyFill="1" applyBorder="1" applyAlignment="1" applyProtection="1">
      <alignment vertical="center"/>
    </xf>
    <xf numFmtId="44" fontId="11" fillId="4" borderId="34" xfId="0" applyNumberFormat="1" applyFont="1" applyFill="1" applyBorder="1" applyAlignment="1" applyProtection="1">
      <alignment vertical="center"/>
    </xf>
    <xf numFmtId="2" fontId="11" fillId="6" borderId="1" xfId="0" applyNumberFormat="1" applyFont="1" applyFill="1" applyBorder="1" applyAlignment="1" applyProtection="1">
      <alignment vertical="center"/>
    </xf>
    <xf numFmtId="44" fontId="11" fillId="4" borderId="3" xfId="0" applyNumberFormat="1" applyFont="1" applyFill="1" applyBorder="1" applyAlignment="1" applyProtection="1">
      <alignment vertical="center"/>
    </xf>
    <xf numFmtId="2" fontId="11" fillId="6" borderId="4" xfId="0" applyNumberFormat="1" applyFont="1" applyFill="1" applyBorder="1" applyAlignment="1" applyProtection="1">
      <alignment vertical="center"/>
    </xf>
    <xf numFmtId="44" fontId="11" fillId="4" borderId="6" xfId="0" applyNumberFormat="1" applyFont="1" applyFill="1" applyBorder="1" applyAlignment="1" applyProtection="1">
      <alignment vertical="center"/>
    </xf>
    <xf numFmtId="0" fontId="11" fillId="6" borderId="1" xfId="0" applyFont="1" applyFill="1" applyBorder="1" applyAlignment="1" applyProtection="1">
      <alignment horizontal="left" vertical="center"/>
    </xf>
    <xf numFmtId="0" fontId="11" fillId="7" borderId="1" xfId="0" applyFont="1" applyFill="1" applyBorder="1" applyAlignment="1" applyProtection="1">
      <alignment vertical="center"/>
      <protection locked="0"/>
    </xf>
    <xf numFmtId="0" fontId="11" fillId="7" borderId="29" xfId="0" applyFont="1" applyFill="1" applyBorder="1" applyAlignment="1" applyProtection="1">
      <alignment horizontal="center" vertical="center"/>
      <protection locked="0"/>
    </xf>
    <xf numFmtId="49" fontId="0" fillId="9" borderId="0" xfId="0" applyNumberFormat="1" applyFill="1" applyProtection="1"/>
    <xf numFmtId="49" fontId="11" fillId="7" borderId="2" xfId="0" applyNumberFormat="1" applyFont="1" applyFill="1" applyBorder="1" applyAlignment="1" applyProtection="1">
      <alignment horizontal="center" vertical="center"/>
      <protection locked="0"/>
    </xf>
    <xf numFmtId="0" fontId="0" fillId="4" borderId="16" xfId="0" applyFill="1" applyBorder="1" applyProtection="1"/>
    <xf numFmtId="0" fontId="0" fillId="4" borderId="17" xfId="0" applyFill="1" applyBorder="1" applyProtection="1"/>
    <xf numFmtId="0" fontId="0" fillId="4" borderId="18" xfId="0" applyFill="1" applyBorder="1" applyProtection="1"/>
    <xf numFmtId="0" fontId="0" fillId="8" borderId="1"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6" xfId="0" applyFont="1" applyFill="1" applyBorder="1" applyAlignment="1">
      <alignment vertical="center"/>
    </xf>
    <xf numFmtId="0" fontId="0" fillId="8" borderId="1" xfId="0" applyFont="1" applyFill="1" applyBorder="1" applyAlignment="1" applyProtection="1">
      <alignment vertical="center"/>
    </xf>
    <xf numFmtId="0" fontId="0" fillId="8" borderId="3" xfId="0" applyFont="1" applyFill="1" applyBorder="1" applyAlignment="1" applyProtection="1">
      <alignment vertical="center"/>
    </xf>
    <xf numFmtId="0" fontId="0" fillId="8" borderId="4" xfId="0" applyFont="1" applyFill="1" applyBorder="1" applyAlignment="1" applyProtection="1">
      <alignment vertical="center"/>
    </xf>
    <xf numFmtId="0" fontId="0" fillId="8" borderId="6" xfId="0" applyFont="1" applyFill="1" applyBorder="1" applyAlignment="1" applyProtection="1">
      <alignment vertical="center"/>
    </xf>
    <xf numFmtId="44" fontId="0" fillId="7" borderId="2" xfId="0" applyNumberFormat="1" applyFont="1" applyFill="1" applyBorder="1" applyAlignment="1" applyProtection="1">
      <alignment vertical="center"/>
      <protection locked="0"/>
    </xf>
    <xf numFmtId="44" fontId="0" fillId="4" borderId="2" xfId="0" applyNumberFormat="1" applyFont="1" applyFill="1" applyBorder="1" applyAlignment="1" applyProtection="1">
      <alignment vertical="center"/>
    </xf>
    <xf numFmtId="44" fontId="0" fillId="4" borderId="5" xfId="0" applyNumberFormat="1" applyFont="1" applyFill="1" applyBorder="1" applyAlignment="1" applyProtection="1">
      <alignment vertical="center"/>
    </xf>
    <xf numFmtId="0" fontId="11" fillId="6" borderId="26" xfId="0" applyFont="1" applyFill="1" applyBorder="1" applyAlignment="1">
      <alignment horizontal="left" vertical="center"/>
    </xf>
    <xf numFmtId="44" fontId="0" fillId="4" borderId="2" xfId="0" applyNumberFormat="1" applyFont="1" applyFill="1" applyBorder="1" applyAlignment="1">
      <alignment vertical="center"/>
    </xf>
    <xf numFmtId="44" fontId="0" fillId="4" borderId="5" xfId="0" applyNumberFormat="1" applyFont="1" applyFill="1" applyBorder="1" applyAlignment="1">
      <alignment vertical="center"/>
    </xf>
    <xf numFmtId="0" fontId="0" fillId="8" borderId="7" xfId="0" applyFont="1" applyFill="1" applyBorder="1" applyAlignment="1">
      <alignment vertical="center"/>
    </xf>
    <xf numFmtId="44" fontId="0" fillId="4" borderId="8" xfId="0" applyNumberFormat="1" applyFont="1" applyFill="1" applyBorder="1" applyAlignment="1">
      <alignment vertical="center"/>
    </xf>
    <xf numFmtId="0" fontId="0" fillId="8" borderId="9" xfId="0" applyFont="1" applyFill="1" applyBorder="1" applyAlignment="1">
      <alignment vertical="center"/>
    </xf>
    <xf numFmtId="0" fontId="0" fillId="8" borderId="7" xfId="0" applyFont="1" applyFill="1" applyBorder="1" applyAlignment="1" applyProtection="1">
      <alignment vertical="center"/>
    </xf>
    <xf numFmtId="44" fontId="0" fillId="4" borderId="8" xfId="0" applyNumberFormat="1" applyFont="1" applyFill="1" applyBorder="1" applyAlignment="1" applyProtection="1">
      <alignment vertical="center"/>
    </xf>
    <xf numFmtId="0" fontId="0" fillId="8" borderId="9" xfId="0" applyFont="1" applyFill="1" applyBorder="1" applyAlignment="1" applyProtection="1">
      <alignment vertical="center"/>
    </xf>
    <xf numFmtId="0" fontId="0" fillId="8" borderId="25" xfId="0" applyFont="1" applyFill="1" applyBorder="1" applyAlignment="1">
      <alignment vertical="center"/>
    </xf>
    <xf numFmtId="0" fontId="0" fillId="7" borderId="56" xfId="0" applyFont="1" applyFill="1" applyBorder="1" applyAlignment="1" applyProtection="1">
      <alignment vertical="center"/>
      <protection locked="0"/>
    </xf>
    <xf numFmtId="0" fontId="11" fillId="7" borderId="37" xfId="0" applyFont="1" applyFill="1" applyBorder="1" applyAlignment="1" applyProtection="1">
      <alignment vertical="center"/>
      <protection locked="0"/>
    </xf>
    <xf numFmtId="0" fontId="22" fillId="10" borderId="30" xfId="0" applyFont="1" applyFill="1" applyBorder="1" applyAlignment="1">
      <alignment horizontal="left" vertical="center"/>
    </xf>
    <xf numFmtId="0" fontId="23" fillId="10" borderId="49" xfId="0" applyFont="1" applyFill="1" applyBorder="1" applyAlignment="1">
      <alignment horizontal="left" vertical="center"/>
    </xf>
    <xf numFmtId="0" fontId="23" fillId="10" borderId="50" xfId="0" applyFont="1" applyFill="1" applyBorder="1" applyAlignment="1">
      <alignment horizontal="left" vertical="center"/>
    </xf>
    <xf numFmtId="0" fontId="12" fillId="8" borderId="30" xfId="0" applyFont="1" applyFill="1" applyBorder="1" applyAlignment="1">
      <alignment horizontal="left" vertical="center"/>
    </xf>
    <xf numFmtId="0" fontId="17" fillId="8" borderId="49" xfId="0" applyFont="1" applyFill="1" applyBorder="1" applyAlignment="1">
      <alignment horizontal="left" vertical="center"/>
    </xf>
    <xf numFmtId="0" fontId="17" fillId="8" borderId="50" xfId="0" applyFont="1" applyFill="1" applyBorder="1" applyAlignment="1">
      <alignment horizontal="left" vertical="center"/>
    </xf>
    <xf numFmtId="0" fontId="12" fillId="12" borderId="30" xfId="0" applyFont="1" applyFill="1" applyBorder="1" applyAlignment="1">
      <alignment horizontal="left" vertical="center"/>
    </xf>
    <xf numFmtId="0" fontId="17" fillId="12" borderId="49" xfId="0" applyFont="1" applyFill="1" applyBorder="1" applyAlignment="1">
      <alignment horizontal="left" vertical="center"/>
    </xf>
    <xf numFmtId="0" fontId="17" fillId="12" borderId="50" xfId="0" applyFont="1" applyFill="1" applyBorder="1" applyAlignment="1">
      <alignment horizontal="left" vertical="center"/>
    </xf>
    <xf numFmtId="0" fontId="12" fillId="12" borderId="32" xfId="0" applyFont="1" applyFill="1" applyBorder="1" applyAlignment="1">
      <alignment horizontal="left" vertical="center"/>
    </xf>
    <xf numFmtId="0" fontId="17" fillId="12" borderId="51" xfId="0" applyFont="1" applyFill="1" applyBorder="1" applyAlignment="1">
      <alignment horizontal="left" vertical="center"/>
    </xf>
    <xf numFmtId="0" fontId="17" fillId="12" borderId="52" xfId="0" applyFont="1" applyFill="1" applyBorder="1" applyAlignment="1">
      <alignment horizontal="left" vertical="center"/>
    </xf>
    <xf numFmtId="0" fontId="1" fillId="10" borderId="29" xfId="0" applyFont="1" applyFill="1" applyBorder="1" applyAlignment="1" applyProtection="1">
      <alignment horizontal="center" vertical="center"/>
      <protection locked="0"/>
    </xf>
    <xf numFmtId="44" fontId="11" fillId="4" borderId="32" xfId="0" applyNumberFormat="1" applyFont="1" applyFill="1" applyBorder="1" applyAlignment="1">
      <alignment vertical="center"/>
    </xf>
    <xf numFmtId="44" fontId="12" fillId="7" borderId="2" xfId="0" applyNumberFormat="1" applyFont="1" applyFill="1" applyBorder="1" applyAlignment="1" applyProtection="1">
      <alignment vertical="center"/>
      <protection locked="0"/>
    </xf>
    <xf numFmtId="44" fontId="12" fillId="7" borderId="5" xfId="0" applyNumberFormat="1" applyFont="1" applyFill="1" applyBorder="1" applyAlignment="1" applyProtection="1">
      <alignment vertical="center"/>
      <protection locked="0"/>
    </xf>
    <xf numFmtId="44" fontId="11" fillId="7" borderId="41" xfId="0" applyNumberFormat="1" applyFont="1" applyFill="1" applyBorder="1" applyAlignment="1" applyProtection="1">
      <alignment vertical="center"/>
      <protection locked="0"/>
    </xf>
    <xf numFmtId="44" fontId="12" fillId="7" borderId="30" xfId="0" applyNumberFormat="1" applyFont="1" applyFill="1" applyBorder="1" applyAlignment="1" applyProtection="1">
      <alignment vertical="center"/>
      <protection locked="0"/>
    </xf>
    <xf numFmtId="44" fontId="12" fillId="7" borderId="32" xfId="0" applyNumberFormat="1" applyFont="1" applyFill="1" applyBorder="1" applyAlignment="1" applyProtection="1">
      <alignment vertical="center"/>
      <protection locked="0"/>
    </xf>
    <xf numFmtId="7" fontId="0" fillId="4" borderId="24" xfId="0" applyNumberFormat="1" applyFont="1" applyFill="1" applyBorder="1" applyAlignment="1">
      <alignment vertical="center"/>
    </xf>
    <xf numFmtId="169" fontId="11" fillId="7" borderId="2" xfId="0" applyNumberFormat="1" applyFont="1" applyFill="1" applyBorder="1" applyAlignment="1" applyProtection="1">
      <alignment horizontal="right" vertical="center"/>
      <protection locked="0"/>
    </xf>
    <xf numFmtId="0" fontId="12" fillId="8" borderId="2" xfId="0" applyFont="1" applyFill="1" applyBorder="1" applyAlignment="1" applyProtection="1">
      <alignment vertical="center"/>
      <protection locked="0"/>
    </xf>
    <xf numFmtId="0" fontId="12" fillId="8" borderId="5" xfId="0" applyFont="1" applyFill="1" applyBorder="1" applyAlignment="1" applyProtection="1">
      <alignment vertical="center"/>
      <protection locked="0"/>
    </xf>
    <xf numFmtId="0" fontId="12" fillId="9" borderId="0" xfId="0" applyFont="1" applyFill="1" applyAlignment="1">
      <alignment vertical="center"/>
    </xf>
    <xf numFmtId="0" fontId="27" fillId="10" borderId="29" xfId="0" applyFont="1" applyFill="1" applyBorder="1" applyAlignment="1">
      <alignment horizontal="center" vertical="center"/>
    </xf>
    <xf numFmtId="0" fontId="12" fillId="8" borderId="38" xfId="0" applyFont="1" applyFill="1" applyBorder="1" applyAlignment="1" applyProtection="1">
      <alignment vertical="center"/>
      <protection locked="0"/>
    </xf>
    <xf numFmtId="0" fontId="5" fillId="9" borderId="0" xfId="0" applyFont="1" applyFill="1" applyAlignment="1">
      <alignment vertical="center"/>
    </xf>
    <xf numFmtId="0" fontId="14" fillId="6" borderId="4" xfId="0" applyFont="1" applyFill="1" applyBorder="1" applyAlignment="1">
      <alignment horizontal="center" vertical="center"/>
    </xf>
    <xf numFmtId="44" fontId="11" fillId="4" borderId="6" xfId="0" applyNumberFormat="1" applyFont="1" applyFill="1" applyBorder="1" applyAlignment="1">
      <alignment horizontal="center" vertical="center"/>
    </xf>
    <xf numFmtId="0" fontId="28" fillId="8" borderId="16" xfId="0" applyFont="1" applyFill="1" applyBorder="1" applyProtection="1"/>
    <xf numFmtId="0" fontId="28" fillId="8" borderId="17" xfId="0" applyFont="1" applyFill="1" applyBorder="1" applyProtection="1"/>
    <xf numFmtId="0" fontId="28" fillId="8" borderId="18" xfId="0" applyFont="1" applyFill="1" applyBorder="1" applyProtection="1"/>
    <xf numFmtId="0" fontId="0" fillId="8" borderId="19" xfId="0" applyFill="1" applyBorder="1" applyProtection="1"/>
    <xf numFmtId="0" fontId="0" fillId="8" borderId="20" xfId="0" applyFill="1" applyBorder="1" applyProtection="1"/>
    <xf numFmtId="0" fontId="0" fillId="6" borderId="7" xfId="0" applyFill="1" applyBorder="1" applyAlignment="1" applyProtection="1">
      <alignment horizontal="left"/>
    </xf>
    <xf numFmtId="0" fontId="0" fillId="6" borderId="8" xfId="0" applyFill="1" applyBorder="1" applyProtection="1"/>
    <xf numFmtId="0" fontId="0" fillId="6" borderId="9" xfId="0" applyFill="1" applyBorder="1" applyProtection="1"/>
    <xf numFmtId="0" fontId="0" fillId="6" borderId="1" xfId="0" applyFill="1" applyBorder="1" applyAlignment="1" applyProtection="1">
      <alignment horizontal="left"/>
    </xf>
    <xf numFmtId="0" fontId="0" fillId="6" borderId="2" xfId="0" applyFill="1" applyBorder="1" applyProtection="1"/>
    <xf numFmtId="0" fontId="0" fillId="6" borderId="3" xfId="0" applyFill="1" applyBorder="1" applyProtection="1"/>
    <xf numFmtId="0" fontId="0" fillId="6" borderId="4" xfId="0" applyFill="1" applyBorder="1" applyAlignment="1" applyProtection="1">
      <alignment horizontal="left"/>
    </xf>
    <xf numFmtId="0" fontId="0" fillId="6" borderId="5" xfId="0" applyFill="1" applyBorder="1" applyProtection="1"/>
    <xf numFmtId="0" fontId="0" fillId="6" borderId="6" xfId="0" applyFill="1" applyBorder="1" applyProtection="1"/>
    <xf numFmtId="0" fontId="0" fillId="8" borderId="0" xfId="0" applyFill="1" applyBorder="1" applyProtection="1"/>
    <xf numFmtId="0" fontId="0" fillId="4" borderId="8"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9" xfId="0" applyFill="1" applyBorder="1" applyAlignment="1" applyProtection="1">
      <alignment horizontal="center" vertical="center"/>
    </xf>
    <xf numFmtId="3" fontId="0" fillId="4" borderId="2" xfId="0" applyNumberFormat="1" applyFill="1" applyBorder="1" applyProtection="1"/>
    <xf numFmtId="168" fontId="0" fillId="4" borderId="2" xfId="0" applyNumberFormat="1" applyFill="1" applyBorder="1" applyProtection="1"/>
    <xf numFmtId="168" fontId="0" fillId="4" borderId="5" xfId="0" applyNumberFormat="1" applyFill="1" applyBorder="1" applyProtection="1"/>
    <xf numFmtId="0" fontId="0" fillId="8" borderId="0" xfId="0" applyFill="1" applyProtection="1"/>
    <xf numFmtId="3" fontId="0" fillId="4" borderId="8" xfId="0" applyNumberFormat="1" applyFill="1" applyBorder="1" applyAlignment="1" applyProtection="1">
      <alignment horizontal="right" vertical="center"/>
    </xf>
    <xf numFmtId="3" fontId="0" fillId="4" borderId="2" xfId="0" applyNumberFormat="1" applyFill="1" applyBorder="1" applyAlignment="1" applyProtection="1">
      <alignment horizontal="right" vertical="center"/>
    </xf>
    <xf numFmtId="0" fontId="0" fillId="6" borderId="1" xfId="0" applyFill="1" applyBorder="1" applyAlignment="1" applyProtection="1">
      <alignment horizontal="left" vertical="center"/>
    </xf>
    <xf numFmtId="168" fontId="0" fillId="4" borderId="2" xfId="0" applyNumberFormat="1" applyFill="1" applyBorder="1" applyAlignment="1" applyProtection="1">
      <alignment horizontal="right" vertical="center"/>
    </xf>
    <xf numFmtId="0" fontId="0" fillId="6" borderId="4" xfId="0" applyFill="1" applyBorder="1" applyAlignment="1" applyProtection="1">
      <alignment horizontal="left" vertical="center"/>
    </xf>
    <xf numFmtId="168" fontId="0" fillId="4" borderId="5" xfId="0" applyNumberFormat="1" applyFill="1" applyBorder="1" applyAlignment="1" applyProtection="1">
      <alignment horizontal="right" vertical="center"/>
    </xf>
    <xf numFmtId="0" fontId="3" fillId="8" borderId="0" xfId="0" applyFont="1" applyFill="1" applyBorder="1" applyProtection="1"/>
    <xf numFmtId="0" fontId="0" fillId="8" borderId="21" xfId="0" applyFill="1" applyBorder="1" applyProtection="1"/>
    <xf numFmtId="0" fontId="0" fillId="8" borderId="23" xfId="0" applyFill="1" applyBorder="1" applyProtection="1"/>
    <xf numFmtId="0" fontId="0" fillId="7" borderId="8" xfId="0" applyFill="1" applyBorder="1" applyAlignment="1" applyProtection="1">
      <alignment horizontal="center" vertical="center"/>
      <protection locked="0"/>
    </xf>
    <xf numFmtId="0" fontId="0" fillId="7" borderId="2" xfId="0" applyNumberFormat="1" applyFill="1" applyBorder="1" applyAlignment="1" applyProtection="1">
      <alignment horizontal="right" vertical="center"/>
      <protection locked="0"/>
    </xf>
    <xf numFmtId="3" fontId="0" fillId="7" borderId="2" xfId="0" applyNumberFormat="1" applyFill="1" applyBorder="1" applyAlignment="1" applyProtection="1">
      <alignment horizontal="right" vertical="center"/>
      <protection locked="0"/>
    </xf>
    <xf numFmtId="168" fontId="0" fillId="7" borderId="2" xfId="0" applyNumberFormat="1" applyFill="1" applyBorder="1" applyAlignment="1" applyProtection="1">
      <alignment horizontal="right" vertical="center"/>
      <protection locked="0"/>
    </xf>
    <xf numFmtId="168" fontId="0" fillId="7" borderId="5" xfId="0" applyNumberFormat="1" applyFill="1" applyBorder="1" applyAlignment="1" applyProtection="1">
      <alignment horizontal="right" vertical="center"/>
      <protection locked="0"/>
    </xf>
    <xf numFmtId="0" fontId="15" fillId="9" borderId="22" xfId="0" applyFont="1" applyFill="1" applyBorder="1" applyAlignment="1">
      <alignment horizontal="center" vertical="center"/>
    </xf>
    <xf numFmtId="0" fontId="15" fillId="8" borderId="19" xfId="0" applyFont="1" applyFill="1" applyBorder="1" applyAlignment="1">
      <alignment horizontal="center" vertical="center"/>
    </xf>
    <xf numFmtId="0" fontId="0" fillId="8" borderId="57" xfId="0" applyFill="1" applyBorder="1"/>
    <xf numFmtId="0" fontId="15" fillId="9" borderId="45" xfId="0" applyFont="1" applyFill="1" applyBorder="1" applyAlignment="1">
      <alignment horizontal="center" vertical="center"/>
    </xf>
    <xf numFmtId="0" fontId="3" fillId="8" borderId="21" xfId="0" applyFont="1" applyFill="1" applyBorder="1"/>
    <xf numFmtId="0" fontId="3" fillId="8" borderId="22" xfId="0" applyFont="1" applyFill="1" applyBorder="1" applyProtection="1"/>
    <xf numFmtId="0" fontId="3" fillId="8" borderId="22" xfId="0" applyFont="1" applyFill="1" applyBorder="1"/>
    <xf numFmtId="0" fontId="3" fillId="8" borderId="23" xfId="0" applyFont="1" applyFill="1" applyBorder="1"/>
    <xf numFmtId="0" fontId="15" fillId="9" borderId="0" xfId="0" applyFont="1" applyFill="1" applyBorder="1" applyAlignment="1">
      <alignment vertical="center"/>
    </xf>
    <xf numFmtId="0" fontId="0" fillId="9" borderId="0" xfId="0" applyFill="1" applyAlignment="1" applyProtection="1">
      <alignment horizontal="center"/>
      <protection locked="0"/>
    </xf>
    <xf numFmtId="0" fontId="24" fillId="4" borderId="0" xfId="0" applyFont="1" applyFill="1" applyBorder="1" applyAlignment="1">
      <alignment horizontal="left" vertical="top" wrapText="1"/>
    </xf>
    <xf numFmtId="0" fontId="15" fillId="9" borderId="17"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6" xfId="0" applyFont="1" applyFill="1" applyBorder="1" applyAlignment="1">
      <alignment horizontal="center" vertical="center"/>
    </xf>
    <xf numFmtId="44" fontId="1" fillId="3" borderId="38" xfId="0" applyNumberFormat="1" applyFont="1" applyFill="1" applyBorder="1" applyAlignment="1">
      <alignment horizontal="center" vertical="center"/>
    </xf>
    <xf numFmtId="44" fontId="1" fillId="3" borderId="27" xfId="0" applyNumberFormat="1" applyFont="1" applyFill="1" applyBorder="1" applyAlignment="1">
      <alignment horizontal="center" vertical="center"/>
    </xf>
    <xf numFmtId="0" fontId="1" fillId="3" borderId="39" xfId="0" applyFont="1" applyFill="1" applyBorder="1" applyAlignment="1">
      <alignment horizontal="left" vertical="center"/>
    </xf>
    <xf numFmtId="0" fontId="1" fillId="3" borderId="28" xfId="0" applyFont="1" applyFill="1" applyBorder="1" applyAlignment="1">
      <alignment horizontal="left" vertical="center"/>
    </xf>
    <xf numFmtId="0" fontId="1" fillId="6" borderId="1" xfId="0" applyFont="1" applyFill="1" applyBorder="1" applyAlignment="1">
      <alignment horizontal="center" vertical="center"/>
    </xf>
    <xf numFmtId="44" fontId="1" fillId="3" borderId="2" xfId="0" applyNumberFormat="1" applyFont="1" applyFill="1" applyBorder="1" applyAlignment="1">
      <alignment horizontal="center" vertical="center"/>
    </xf>
    <xf numFmtId="0" fontId="1" fillId="3" borderId="3" xfId="0" applyFont="1" applyFill="1" applyBorder="1" applyAlignment="1">
      <alignment horizontal="left" vertical="center"/>
    </xf>
    <xf numFmtId="0" fontId="1" fillId="6" borderId="56" xfId="0" applyFont="1" applyFill="1" applyBorder="1" applyAlignment="1">
      <alignment horizontal="center" vertical="center"/>
    </xf>
    <xf numFmtId="44" fontId="1" fillId="12" borderId="38" xfId="0" applyNumberFormat="1" applyFont="1" applyFill="1" applyBorder="1" applyAlignment="1">
      <alignment horizontal="center" vertical="center"/>
    </xf>
    <xf numFmtId="44" fontId="1" fillId="12" borderId="27" xfId="0" applyNumberFormat="1" applyFont="1" applyFill="1" applyBorder="1" applyAlignment="1">
      <alignment horizontal="center" vertical="center"/>
    </xf>
    <xf numFmtId="44" fontId="1" fillId="12" borderId="24" xfId="0" applyNumberFormat="1" applyFont="1" applyFill="1" applyBorder="1" applyAlignment="1">
      <alignment horizontal="center" vertical="center"/>
    </xf>
    <xf numFmtId="0" fontId="1" fillId="12" borderId="39" xfId="0" applyFont="1" applyFill="1" applyBorder="1" applyAlignment="1">
      <alignment horizontal="left" vertical="center"/>
    </xf>
    <xf numFmtId="0" fontId="1" fillId="12" borderId="28" xfId="0" applyFont="1" applyFill="1" applyBorder="1" applyAlignment="1">
      <alignment horizontal="left" vertical="center"/>
    </xf>
    <xf numFmtId="0" fontId="1" fillId="12" borderId="25" xfId="0" applyFont="1" applyFill="1" applyBorder="1" applyAlignment="1">
      <alignment horizontal="left" vertical="center"/>
    </xf>
    <xf numFmtId="0" fontId="8" fillId="8" borderId="17" xfId="0" applyFont="1" applyFill="1" applyBorder="1" applyAlignment="1">
      <alignment horizontal="center" vertical="top"/>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center" vertical="center"/>
    </xf>
    <xf numFmtId="0" fontId="13" fillId="13" borderId="53" xfId="0" applyFont="1" applyFill="1" applyBorder="1" applyAlignment="1">
      <alignment horizontal="center" vertical="center"/>
    </xf>
    <xf numFmtId="0" fontId="13" fillId="13" borderId="54" xfId="0" applyFont="1" applyFill="1" applyBorder="1" applyAlignment="1">
      <alignment horizontal="center"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3" fillId="9" borderId="0" xfId="0" applyFont="1" applyFill="1" applyAlignment="1" applyProtection="1">
      <alignment horizontal="center"/>
      <protection locked="0"/>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0" fillId="6" borderId="1" xfId="0"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0" fillId="6" borderId="7" xfId="0" applyFill="1" applyBorder="1" applyAlignment="1" applyProtection="1">
      <alignment horizontal="left" vertical="center"/>
    </xf>
    <xf numFmtId="0" fontId="0" fillId="9" borderId="0" xfId="0" applyFill="1" applyBorder="1" applyAlignment="1" applyProtection="1">
      <alignment horizontal="center"/>
      <protection locked="0"/>
    </xf>
    <xf numFmtId="0" fontId="10" fillId="10" borderId="11" xfId="0" applyFont="1" applyFill="1" applyBorder="1" applyAlignment="1">
      <alignment horizontal="center" vertical="center"/>
    </xf>
    <xf numFmtId="0" fontId="0" fillId="11" borderId="0" xfId="0" applyFill="1" applyAlignment="1" applyProtection="1">
      <alignment horizontal="center"/>
      <protection locked="0"/>
    </xf>
    <xf numFmtId="0" fontId="18" fillId="14" borderId="16" xfId="0"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8" fillId="14" borderId="21"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18" fillId="14" borderId="23" xfId="0" applyFont="1" applyFill="1" applyBorder="1" applyAlignment="1">
      <alignment horizontal="center" vertical="center" wrapText="1"/>
    </xf>
    <xf numFmtId="0" fontId="20" fillId="14" borderId="16" xfId="1" applyFont="1" applyFill="1" applyBorder="1" applyAlignment="1" applyProtection="1">
      <alignment horizontal="center" vertical="center" wrapText="1"/>
      <protection locked="0"/>
    </xf>
    <xf numFmtId="0" fontId="21" fillId="14" borderId="17" xfId="0" applyFont="1" applyFill="1" applyBorder="1" applyAlignment="1" applyProtection="1">
      <alignment horizontal="center" vertical="center" wrapText="1"/>
      <protection locked="0"/>
    </xf>
    <xf numFmtId="0" fontId="21" fillId="14" borderId="18" xfId="0" applyFont="1" applyFill="1" applyBorder="1" applyAlignment="1" applyProtection="1">
      <alignment horizontal="center" vertical="center" wrapText="1"/>
      <protection locked="0"/>
    </xf>
    <xf numFmtId="0" fontId="21" fillId="14" borderId="21" xfId="0" applyFont="1" applyFill="1" applyBorder="1" applyAlignment="1" applyProtection="1">
      <alignment horizontal="center" vertical="center" wrapText="1"/>
      <protection locked="0"/>
    </xf>
    <xf numFmtId="0" fontId="21" fillId="14" borderId="22" xfId="0" applyFont="1" applyFill="1" applyBorder="1" applyAlignment="1" applyProtection="1">
      <alignment horizontal="center" vertical="center" wrapText="1"/>
      <protection locked="0"/>
    </xf>
    <xf numFmtId="0" fontId="21" fillId="14" borderId="23" xfId="0" applyFont="1" applyFill="1" applyBorder="1" applyAlignment="1" applyProtection="1">
      <alignment horizontal="center" vertical="center" wrapText="1"/>
      <protection locked="0"/>
    </xf>
  </cellXfs>
  <cellStyles count="2">
    <cellStyle name="Hyperlink" xfId="1" builtinId="8"/>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a:t>
            </a:r>
            <a:r>
              <a:rPr lang="en-CA" baseline="0"/>
              <a:t> vs. Blueberry Yield</a:t>
            </a:r>
            <a:endParaRPr lang="en-CA"/>
          </a:p>
        </c:rich>
      </c:tx>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3540984843829731"/>
          <c:y val="0.11075773240600031"/>
          <c:w val="0.84126346168745647"/>
          <c:h val="0.74096742632637913"/>
        </c:manualLayout>
      </c:layout>
      <c:scatterChart>
        <c:scatterStyle val="smoothMarker"/>
        <c:varyColors val="0"/>
        <c:ser>
          <c:idx val="1"/>
          <c:order val="0"/>
          <c:tx>
            <c:strRef>
              <c:f>'Break even chart'!$AH$4</c:f>
              <c:strCache>
                <c:ptCount val="1"/>
                <c:pt idx="0">
                  <c:v>Break even</c:v>
                </c:pt>
              </c:strCache>
            </c:strRef>
          </c:tx>
          <c:spPr>
            <a:ln w="19050" cap="rnd">
              <a:solidFill>
                <a:srgbClr val="FF0000"/>
              </a:solidFill>
              <a:round/>
            </a:ln>
            <a:effectLst/>
          </c:spPr>
          <c:marker>
            <c:symbol val="circle"/>
            <c:size val="5"/>
            <c:spPr>
              <a:noFill/>
              <a:ln w="9525">
                <a:noFill/>
              </a:ln>
              <a:effectLst/>
            </c:spPr>
          </c:marker>
          <c:xVal>
            <c:numRef>
              <c:f>'Break even chart'!$X$5:$X$20</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 even chart'!$AA$5:$AA$20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c:ext xmlns:c16="http://schemas.microsoft.com/office/drawing/2014/chart" uri="{C3380CC4-5D6E-409C-BE32-E72D297353CC}">
              <c16:uniqueId val="{00000000-39E4-4C01-91D1-59EC84FE522A}"/>
            </c:ext>
          </c:extLst>
        </c:ser>
        <c:ser>
          <c:idx val="2"/>
          <c:order val="1"/>
          <c:tx>
            <c:strRef>
              <c:f>'Break even chart'!$AH$5</c:f>
              <c:strCache>
                <c:ptCount val="1"/>
                <c:pt idx="0">
                  <c:v>No agrochemical input</c:v>
                </c:pt>
              </c:strCache>
            </c:strRef>
          </c:tx>
          <c:spPr>
            <a:ln w="19050" cap="rnd">
              <a:solidFill>
                <a:schemeClr val="accent6">
                  <a:lumMod val="20000"/>
                  <a:lumOff val="80000"/>
                </a:schemeClr>
              </a:solidFill>
              <a:round/>
            </a:ln>
            <a:effectLst/>
          </c:spPr>
          <c:marker>
            <c:symbol val="circle"/>
            <c:size val="5"/>
            <c:spPr>
              <a:solidFill>
                <a:schemeClr val="accent6">
                  <a:lumMod val="20000"/>
                  <a:lumOff val="80000"/>
                </a:schemeClr>
              </a:solidFill>
              <a:ln w="9525">
                <a:noFill/>
              </a:ln>
              <a:effectLst/>
            </c:spPr>
          </c:marker>
          <c:xVal>
            <c:numRef>
              <c:f>'Break even chart'!$X$5:$X$20</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 even chart'!$Z$5:$Z$20</c:f>
              <c:numCache>
                <c:formatCode>"$"#,##0.00</c:formatCode>
                <c:ptCount val="16"/>
                <c:pt idx="0">
                  <c:v>-1480</c:v>
                </c:pt>
                <c:pt idx="1">
                  <c:v>-680</c:v>
                </c:pt>
                <c:pt idx="2">
                  <c:v>120</c:v>
                </c:pt>
                <c:pt idx="3">
                  <c:v>920</c:v>
                </c:pt>
                <c:pt idx="4">
                  <c:v>1720</c:v>
                </c:pt>
                <c:pt idx="5">
                  <c:v>2520</c:v>
                </c:pt>
                <c:pt idx="6">
                  <c:v>3320</c:v>
                </c:pt>
                <c:pt idx="7">
                  <c:v>4120</c:v>
                </c:pt>
                <c:pt idx="8">
                  <c:v>4920</c:v>
                </c:pt>
                <c:pt idx="9">
                  <c:v>5720</c:v>
                </c:pt>
                <c:pt idx="10">
                  <c:v>6520</c:v>
                </c:pt>
                <c:pt idx="11">
                  <c:v>7320</c:v>
                </c:pt>
                <c:pt idx="12">
                  <c:v>8120</c:v>
                </c:pt>
                <c:pt idx="13">
                  <c:v>8920</c:v>
                </c:pt>
                <c:pt idx="14">
                  <c:v>9720</c:v>
                </c:pt>
                <c:pt idx="15">
                  <c:v>10520</c:v>
                </c:pt>
              </c:numCache>
            </c:numRef>
          </c:yVal>
          <c:smooth val="1"/>
          <c:extLst>
            <c:ext xmlns:c16="http://schemas.microsoft.com/office/drawing/2014/chart" uri="{C3380CC4-5D6E-409C-BE32-E72D297353CC}">
              <c16:uniqueId val="{00000001-39E4-4C01-91D1-59EC84FE522A}"/>
            </c:ext>
          </c:extLst>
        </c:ser>
        <c:ser>
          <c:idx val="0"/>
          <c:order val="2"/>
          <c:tx>
            <c:strRef>
              <c:f>'Break 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 even chart'!$X$5:$X$20</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 even chart'!$Y$5:$Y$20</c:f>
              <c:numCache>
                <c:formatCode>"$"#,##0.00</c:formatCode>
                <c:ptCount val="16"/>
                <c:pt idx="0">
                  <c:v>-1480</c:v>
                </c:pt>
                <c:pt idx="1">
                  <c:v>-680</c:v>
                </c:pt>
                <c:pt idx="2">
                  <c:v>120</c:v>
                </c:pt>
                <c:pt idx="3">
                  <c:v>920</c:v>
                </c:pt>
                <c:pt idx="4">
                  <c:v>1720</c:v>
                </c:pt>
                <c:pt idx="5">
                  <c:v>2520</c:v>
                </c:pt>
                <c:pt idx="6">
                  <c:v>3320</c:v>
                </c:pt>
                <c:pt idx="7">
                  <c:v>4120</c:v>
                </c:pt>
                <c:pt idx="8">
                  <c:v>4920</c:v>
                </c:pt>
                <c:pt idx="9">
                  <c:v>5720</c:v>
                </c:pt>
                <c:pt idx="10">
                  <c:v>6520</c:v>
                </c:pt>
                <c:pt idx="11">
                  <c:v>7320</c:v>
                </c:pt>
                <c:pt idx="12">
                  <c:v>8120</c:v>
                </c:pt>
                <c:pt idx="13">
                  <c:v>8920</c:v>
                </c:pt>
                <c:pt idx="14">
                  <c:v>9720</c:v>
                </c:pt>
                <c:pt idx="15">
                  <c:v>10520</c:v>
                </c:pt>
              </c:numCache>
            </c:numRef>
          </c:yVal>
          <c:smooth val="1"/>
          <c:extLst>
            <c:ext xmlns:c16="http://schemas.microsoft.com/office/drawing/2014/chart" uri="{C3380CC4-5D6E-409C-BE32-E72D297353CC}">
              <c16:uniqueId val="{00000005-39E4-4C01-91D1-59EC84FE522A}"/>
            </c:ext>
          </c:extLst>
        </c:ser>
        <c:dLbls>
          <c:showLegendKey val="0"/>
          <c:showVal val="0"/>
          <c:showCatName val="0"/>
          <c:showSerName val="0"/>
          <c:showPercent val="0"/>
          <c:showBubbleSize val="0"/>
        </c:dLbls>
        <c:axId val="1418468623"/>
        <c:axId val="1412402367"/>
      </c:scatterChart>
      <c:valAx>
        <c:axId val="1418468623"/>
        <c:scaling>
          <c:orientation val="minMax"/>
          <c:max val="15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US"/>
                  <a:t>Yield (lbs/acre)</a:t>
                </a:r>
              </a:p>
            </c:rich>
          </c:tx>
          <c:layout>
            <c:manualLayout>
              <c:xMode val="edge"/>
              <c:yMode val="edge"/>
              <c:x val="0.43243024367958577"/>
              <c:y val="0.947936155759593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chemeClr val="lt1"/>
                </a:solidFill>
                <a:latin typeface="+mn-lt"/>
                <a:ea typeface="+mn-ea"/>
                <a:cs typeface="+mn-cs"/>
              </a:defRPr>
            </a:pPr>
            <a:endParaRPr lang="en-US"/>
          </a:p>
        </c:txPr>
        <c:crossAx val="1412402367"/>
        <c:crosses val="autoZero"/>
        <c:crossBetween val="midCat"/>
        <c:majorUnit val="1000"/>
      </c:valAx>
      <c:valAx>
        <c:axId val="1412402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 ($/acre)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418468623"/>
        <c:crosses val="autoZero"/>
        <c:crossBetween val="midCat"/>
      </c:valAx>
      <c:spPr>
        <a:noFill/>
        <a:ln>
          <a:noFill/>
        </a:ln>
        <a:effectLst/>
      </c:spPr>
    </c:plotArea>
    <c:legend>
      <c:legendPos val="b"/>
      <c:layout>
        <c:manualLayout>
          <c:xMode val="edge"/>
          <c:yMode val="edge"/>
          <c:x val="0.70441125802630311"/>
          <c:y val="0.65197702981322303"/>
          <c:w val="0.2641610599342688"/>
          <c:h val="0.18709517140474818"/>
        </c:manualLayout>
      </c:layout>
      <c:overlay val="0"/>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Historical</a:t>
            </a:r>
            <a:r>
              <a:rPr lang="en-US" b="1" baseline="0">
                <a:solidFill>
                  <a:schemeClr val="tx1"/>
                </a:solidFill>
              </a:rPr>
              <a:t> Field Revenue after Expenses</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v>Yield</c:v>
          </c:tx>
          <c:spPr>
            <a:ln w="28575" cap="rnd">
              <a:solidFill>
                <a:srgbClr val="FF0000"/>
              </a:solidFill>
              <a:round/>
            </a:ln>
            <a:effectLst/>
          </c:spPr>
          <c:marker>
            <c:symbol val="circle"/>
            <c:size val="5"/>
            <c:spPr>
              <a:solidFill>
                <a:schemeClr val="tx1"/>
              </a:solidFill>
              <a:ln w="9525">
                <a:solidFill>
                  <a:srgbClr val="FF0000"/>
                </a:solidFill>
              </a:ln>
              <a:effectLst/>
            </c:spPr>
          </c:marker>
          <c:cat>
            <c:numRef>
              <c:f>('Historical record'!$V$4,'Historical record'!$T$4,'Historical record'!$R$4,'Historical record'!$P$4,'Historical record'!$N$4,'Historical record'!$L$4,'Historical record'!$J$4,'Historical record'!$H$4,'Historical record'!$F$4,'Historical record'!$D$4)</c:f>
              <c:numCache>
                <c:formatCode>General</c:formatCode>
                <c:ptCount val="10"/>
              </c:numCache>
            </c:numRef>
          </c:cat>
          <c:val>
            <c:numRef>
              <c:f>('Historical record'!$V$14,'Historical record'!$T$14,'Historical record'!$R$14,'Historical record'!$P$14,'Historical record'!$N$14,'Historical record'!$L$14,'Historical record'!$J$14,'Historical record'!$H$14,'Historical record'!$F$14,'Historical record'!$D$14)</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A05-4558-955B-B0F0DBF74722}"/>
            </c:ext>
          </c:extLst>
        </c:ser>
        <c:dLbls>
          <c:showLegendKey val="0"/>
          <c:showVal val="0"/>
          <c:showCatName val="0"/>
          <c:showSerName val="0"/>
          <c:showPercent val="0"/>
          <c:showBubbleSize val="0"/>
        </c:dLbls>
        <c:marker val="1"/>
        <c:smooth val="0"/>
        <c:axId val="461966848"/>
        <c:axId val="461986200"/>
      </c:lineChart>
      <c:catAx>
        <c:axId val="461966848"/>
        <c:scaling>
          <c:orientation val="minMax"/>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a:solidFill>
                      <a:schemeClr val="tx1"/>
                    </a:solidFill>
                  </a:rPr>
                  <a:t>Harvest 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86200"/>
        <c:crosses val="autoZero"/>
        <c:auto val="1"/>
        <c:lblAlgn val="ctr"/>
        <c:lblOffset val="100"/>
        <c:noMultiLvlLbl val="0"/>
      </c:catAx>
      <c:valAx>
        <c:axId val="46198620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baseline="0">
                    <a:solidFill>
                      <a:schemeClr val="tx1"/>
                    </a:solidFill>
                  </a:rPr>
                  <a:t>Field Revenue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66848"/>
        <c:crosses val="autoZero"/>
        <c:crossBetween val="between"/>
      </c:valAx>
      <c:spPr>
        <a:noFill/>
        <a:ln>
          <a:solidFill>
            <a:schemeClr val="accent3">
              <a:lumMod val="40000"/>
              <a:lumOff val="6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3">
        <a:lumMod val="40000"/>
        <a:lumOff val="6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a:t>
            </a:r>
            <a:r>
              <a:rPr lang="en-CA" baseline="0"/>
              <a:t> vs. Blueberry Vine Coverage</a:t>
            </a:r>
            <a:endParaRPr lang="en-CA"/>
          </a:p>
        </c:rich>
      </c:tx>
      <c:layout>
        <c:manualLayout>
          <c:xMode val="edge"/>
          <c:yMode val="edge"/>
          <c:x val="0.27753110267248454"/>
          <c:y val="2.3785199051214029E-2"/>
        </c:manualLayout>
      </c:layout>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3532025778211335"/>
          <c:y val="0.11027412910119104"/>
          <c:w val="0.82687312285566061"/>
          <c:h val="0.77777624308098858"/>
        </c:manualLayout>
      </c:layout>
      <c:scatterChart>
        <c:scatterStyle val="smoothMarker"/>
        <c:varyColors val="0"/>
        <c:ser>
          <c:idx val="5"/>
          <c:order val="0"/>
          <c:tx>
            <c:strRef>
              <c:f>'Break even chart'!$AH$4</c:f>
              <c:strCache>
                <c:ptCount val="1"/>
                <c:pt idx="0">
                  <c:v>Break even</c:v>
                </c:pt>
              </c:strCache>
            </c:strRef>
          </c:tx>
          <c:spPr>
            <a:ln w="12700" cap="flat" cmpd="sng" algn="ctr">
              <a:solidFill>
                <a:srgbClr val="FF0000"/>
              </a:solidFill>
              <a:prstDash val="solid"/>
              <a:miter lim="800000"/>
            </a:ln>
            <a:effectLst/>
          </c:spPr>
          <c:marker>
            <c:symbol val="circle"/>
            <c:size val="5"/>
            <c:spPr>
              <a:noFill/>
              <a:ln w="12700" cap="flat" cmpd="sng" algn="ctr">
                <a:noFill/>
                <a:prstDash val="solid"/>
                <a:miter lim="800000"/>
              </a:ln>
              <a:effectLst/>
            </c:spPr>
          </c:marker>
          <c:xVal>
            <c:numRef>
              <c:f>'Break even chart'!$AC$5:$AC$15</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 even chart'!$AF$5:$AF$15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0-124E-4637-AB75-8369F8091B3B}"/>
            </c:ext>
          </c:extLst>
        </c:ser>
        <c:ser>
          <c:idx val="1"/>
          <c:order val="1"/>
          <c:tx>
            <c:strRef>
              <c:f>'Break even chart'!$AH$5</c:f>
              <c:strCache>
                <c:ptCount val="1"/>
                <c:pt idx="0">
                  <c:v>No agrochemical input</c:v>
                </c:pt>
              </c:strCache>
            </c:strRef>
          </c:tx>
          <c:spPr>
            <a:ln w="19050" cap="flat" cmpd="sng" algn="ctr">
              <a:solidFill>
                <a:schemeClr val="accent6">
                  <a:lumMod val="20000"/>
                  <a:lumOff val="80000"/>
                </a:schemeClr>
              </a:solidFill>
              <a:prstDash val="solid"/>
              <a:miter lim="800000"/>
            </a:ln>
            <a:effectLst/>
          </c:spPr>
          <c:marker>
            <c:symbol val="circle"/>
            <c:size val="5"/>
            <c:spPr>
              <a:solidFill>
                <a:schemeClr val="accent6">
                  <a:lumMod val="20000"/>
                  <a:lumOff val="80000"/>
                </a:schemeClr>
              </a:solidFill>
              <a:ln w="12700" cap="flat" cmpd="sng" algn="ctr">
                <a:noFill/>
                <a:prstDash val="solid"/>
                <a:miter lim="800000"/>
              </a:ln>
              <a:effectLst/>
            </c:spPr>
          </c:marker>
          <c:xVal>
            <c:numRef>
              <c:f>'Break even chart'!$AC$5:$AC$15</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 even chart'!$AE$5:$AE$15</c:f>
              <c:numCache>
                <c:formatCode>"$"#,##0.00</c:formatCode>
                <c:ptCount val="11"/>
                <c:pt idx="0">
                  <c:v>-1480</c:v>
                </c:pt>
                <c:pt idx="1">
                  <c:v>-786.66666666666663</c:v>
                </c:pt>
                <c:pt idx="2">
                  <c:v>-93.333333333333258</c:v>
                </c:pt>
                <c:pt idx="3">
                  <c:v>599.99999999999955</c:v>
                </c:pt>
                <c:pt idx="4">
                  <c:v>1293.3333333333335</c:v>
                </c:pt>
                <c:pt idx="5">
                  <c:v>1986.6666666666665</c:v>
                </c:pt>
                <c:pt idx="6">
                  <c:v>2679.9999999999991</c:v>
                </c:pt>
                <c:pt idx="7">
                  <c:v>3373.333333333333</c:v>
                </c:pt>
                <c:pt idx="8">
                  <c:v>4066.666666666667</c:v>
                </c:pt>
                <c:pt idx="9">
                  <c:v>4760</c:v>
                </c:pt>
                <c:pt idx="10">
                  <c:v>5453.333333333333</c:v>
                </c:pt>
              </c:numCache>
            </c:numRef>
          </c:yVal>
          <c:smooth val="1"/>
          <c:extLst>
            <c:ext xmlns:c16="http://schemas.microsoft.com/office/drawing/2014/chart" uri="{C3380CC4-5D6E-409C-BE32-E72D297353CC}">
              <c16:uniqueId val="{00000001-124E-4637-AB75-8369F8091B3B}"/>
            </c:ext>
          </c:extLst>
        </c:ser>
        <c:ser>
          <c:idx val="0"/>
          <c:order val="2"/>
          <c:tx>
            <c:strRef>
              <c:f>'Break 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 even chart'!$AC$5:$AC$15</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 even chart'!$AD$5:$AD$15</c:f>
              <c:numCache>
                <c:formatCode>"$"#,##0.00</c:formatCode>
                <c:ptCount val="11"/>
                <c:pt idx="0">
                  <c:v>-1480</c:v>
                </c:pt>
                <c:pt idx="1">
                  <c:v>-786.66666666666663</c:v>
                </c:pt>
                <c:pt idx="2">
                  <c:v>-93.333333333333258</c:v>
                </c:pt>
                <c:pt idx="3">
                  <c:v>599.99999999999955</c:v>
                </c:pt>
                <c:pt idx="4">
                  <c:v>1293.3333333333335</c:v>
                </c:pt>
                <c:pt idx="5">
                  <c:v>1986.6666666666665</c:v>
                </c:pt>
                <c:pt idx="6">
                  <c:v>2679.9999999999991</c:v>
                </c:pt>
                <c:pt idx="7">
                  <c:v>3373.333333333333</c:v>
                </c:pt>
                <c:pt idx="8">
                  <c:v>4066.666666666667</c:v>
                </c:pt>
                <c:pt idx="9">
                  <c:v>4760</c:v>
                </c:pt>
                <c:pt idx="10">
                  <c:v>5453.333333333333</c:v>
                </c:pt>
              </c:numCache>
            </c:numRef>
          </c:yVal>
          <c:smooth val="1"/>
          <c:extLst>
            <c:ext xmlns:c16="http://schemas.microsoft.com/office/drawing/2014/chart" uri="{C3380CC4-5D6E-409C-BE32-E72D297353CC}">
              <c16:uniqueId val="{00000005-124E-4637-AB75-8369F8091B3B}"/>
            </c:ext>
          </c:extLst>
        </c:ser>
        <c:dLbls>
          <c:showLegendKey val="0"/>
          <c:showVal val="0"/>
          <c:showCatName val="0"/>
          <c:showSerName val="0"/>
          <c:showPercent val="0"/>
          <c:showBubbleSize val="0"/>
        </c:dLbls>
        <c:axId val="1407867311"/>
        <c:axId val="1620852159"/>
      </c:scatterChart>
      <c:valAx>
        <c:axId val="1407867311"/>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baseline="0"/>
                  <a:t>Vine Coverage (%)</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620852159"/>
        <c:crosses val="autoZero"/>
        <c:crossBetween val="midCat"/>
      </c:valAx>
      <c:valAx>
        <c:axId val="16208521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a:t>
                </a:r>
                <a:r>
                  <a:rPr lang="en-CA" baseline="0"/>
                  <a:t> ($/acre)</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407867311"/>
        <c:crosses val="autoZero"/>
        <c:crossBetween val="midCat"/>
      </c:valAx>
      <c:spPr>
        <a:noFill/>
        <a:ln>
          <a:noFill/>
        </a:ln>
        <a:effectLst/>
      </c:spPr>
    </c:plotArea>
    <c:legend>
      <c:legendPos val="b"/>
      <c:layout>
        <c:manualLayout>
          <c:xMode val="edge"/>
          <c:yMode val="edge"/>
          <c:x val="0.68671758564323904"/>
          <c:y val="0.69279075541171953"/>
          <c:w val="0.26700545135976839"/>
          <c:h val="0.18276669731148645"/>
        </c:manualLayout>
      </c:layout>
      <c:overlay val="0"/>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 vs. Blueberry Yield</a:t>
            </a:r>
          </a:p>
        </c:rich>
      </c:tx>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1739124258086292"/>
          <c:y val="0.12115967258494356"/>
          <c:w val="0.86079958935693868"/>
          <c:h val="0.68872754603068531"/>
        </c:manualLayout>
      </c:layout>
      <c:scatterChart>
        <c:scatterStyle val="smoothMarker"/>
        <c:varyColors val="0"/>
        <c:ser>
          <c:idx val="5"/>
          <c:order val="0"/>
          <c:tx>
            <c:strRef>
              <c:f>'Break even chart'!$AH$4</c:f>
              <c:strCache>
                <c:ptCount val="1"/>
                <c:pt idx="0">
                  <c:v>Break even</c:v>
                </c:pt>
              </c:strCache>
            </c:strRef>
          </c:tx>
          <c:spPr>
            <a:ln w="19050" cap="rnd">
              <a:solidFill>
                <a:srgbClr val="FF0000"/>
              </a:solidFill>
              <a:round/>
            </a:ln>
            <a:effectLst/>
          </c:spPr>
          <c:marker>
            <c:symbol val="circle"/>
            <c:size val="5"/>
            <c:spPr>
              <a:noFill/>
              <a:ln w="9525">
                <a:noFill/>
              </a:ln>
              <a:effectLst/>
            </c:spPr>
          </c:marker>
          <c:xVal>
            <c:numRef>
              <c:f>'Break even chart'!$X$24:$X$39</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 even chart'!$AA$24:$AA$39</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c:ext xmlns:c16="http://schemas.microsoft.com/office/drawing/2014/chart" uri="{C3380CC4-5D6E-409C-BE32-E72D297353CC}">
              <c16:uniqueId val="{00000000-7599-440D-A361-188F21C1BD1E}"/>
            </c:ext>
          </c:extLst>
        </c:ser>
        <c:ser>
          <c:idx val="1"/>
          <c:order val="1"/>
          <c:tx>
            <c:strRef>
              <c:f>'Break even chart'!$AH$5</c:f>
              <c:strCache>
                <c:ptCount val="1"/>
                <c:pt idx="0">
                  <c:v>No agrochemical input</c:v>
                </c:pt>
              </c:strCache>
            </c:strRef>
          </c:tx>
          <c:spPr>
            <a:ln w="19050" cap="rnd">
              <a:solidFill>
                <a:schemeClr val="accent6">
                  <a:lumMod val="20000"/>
                  <a:lumOff val="80000"/>
                </a:schemeClr>
              </a:solidFill>
              <a:round/>
            </a:ln>
            <a:effectLst/>
          </c:spPr>
          <c:marker>
            <c:symbol val="circle"/>
            <c:size val="5"/>
            <c:spPr>
              <a:solidFill>
                <a:schemeClr val="accent6">
                  <a:lumMod val="20000"/>
                  <a:lumOff val="80000"/>
                </a:schemeClr>
              </a:solidFill>
              <a:ln w="9525">
                <a:noFill/>
              </a:ln>
              <a:effectLst/>
            </c:spPr>
          </c:marker>
          <c:xVal>
            <c:numRef>
              <c:f>'Break even chart'!$X$24:$X$39</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 even chart'!$Z$24:$Z$39</c:f>
              <c:numCache>
                <c:formatCode>"$"#,##0.00</c:formatCode>
                <c:ptCount val="16"/>
                <c:pt idx="0">
                  <c:v>-14800</c:v>
                </c:pt>
                <c:pt idx="1">
                  <c:v>-6800</c:v>
                </c:pt>
                <c:pt idx="2">
                  <c:v>1200</c:v>
                </c:pt>
                <c:pt idx="3">
                  <c:v>9200</c:v>
                </c:pt>
                <c:pt idx="4">
                  <c:v>17200</c:v>
                </c:pt>
                <c:pt idx="5">
                  <c:v>25200</c:v>
                </c:pt>
                <c:pt idx="6">
                  <c:v>33200</c:v>
                </c:pt>
                <c:pt idx="7">
                  <c:v>41200</c:v>
                </c:pt>
                <c:pt idx="8">
                  <c:v>49200</c:v>
                </c:pt>
                <c:pt idx="9">
                  <c:v>57200</c:v>
                </c:pt>
                <c:pt idx="10">
                  <c:v>65200</c:v>
                </c:pt>
                <c:pt idx="11">
                  <c:v>73200</c:v>
                </c:pt>
                <c:pt idx="12">
                  <c:v>81200</c:v>
                </c:pt>
                <c:pt idx="13">
                  <c:v>89200</c:v>
                </c:pt>
                <c:pt idx="14">
                  <c:v>97200</c:v>
                </c:pt>
                <c:pt idx="15">
                  <c:v>105200</c:v>
                </c:pt>
              </c:numCache>
            </c:numRef>
          </c:yVal>
          <c:smooth val="1"/>
          <c:extLst>
            <c:ext xmlns:c16="http://schemas.microsoft.com/office/drawing/2014/chart" uri="{C3380CC4-5D6E-409C-BE32-E72D297353CC}">
              <c16:uniqueId val="{00000001-7599-440D-A361-188F21C1BD1E}"/>
            </c:ext>
          </c:extLst>
        </c:ser>
        <c:ser>
          <c:idx val="0"/>
          <c:order val="2"/>
          <c:tx>
            <c:strRef>
              <c:f>'Break 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 even chart'!$X$24:$X$39</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 even chart'!$Y$24:$Y$39</c:f>
              <c:numCache>
                <c:formatCode>"$"#,##0.00</c:formatCode>
                <c:ptCount val="16"/>
                <c:pt idx="0">
                  <c:v>-14800</c:v>
                </c:pt>
                <c:pt idx="1">
                  <c:v>-6800</c:v>
                </c:pt>
                <c:pt idx="2">
                  <c:v>1200</c:v>
                </c:pt>
                <c:pt idx="3">
                  <c:v>9200</c:v>
                </c:pt>
                <c:pt idx="4">
                  <c:v>17200</c:v>
                </c:pt>
                <c:pt idx="5">
                  <c:v>25200</c:v>
                </c:pt>
                <c:pt idx="6">
                  <c:v>33200</c:v>
                </c:pt>
                <c:pt idx="7">
                  <c:v>41200</c:v>
                </c:pt>
                <c:pt idx="8">
                  <c:v>49200</c:v>
                </c:pt>
                <c:pt idx="9">
                  <c:v>57200</c:v>
                </c:pt>
                <c:pt idx="10">
                  <c:v>65200</c:v>
                </c:pt>
                <c:pt idx="11">
                  <c:v>73200</c:v>
                </c:pt>
                <c:pt idx="12">
                  <c:v>81200</c:v>
                </c:pt>
                <c:pt idx="13">
                  <c:v>89200</c:v>
                </c:pt>
                <c:pt idx="14">
                  <c:v>97200</c:v>
                </c:pt>
                <c:pt idx="15">
                  <c:v>105200</c:v>
                </c:pt>
              </c:numCache>
            </c:numRef>
          </c:yVal>
          <c:smooth val="1"/>
          <c:extLst>
            <c:ext xmlns:c16="http://schemas.microsoft.com/office/drawing/2014/chart" uri="{C3380CC4-5D6E-409C-BE32-E72D297353CC}">
              <c16:uniqueId val="{00000005-7599-440D-A361-188F21C1BD1E}"/>
            </c:ext>
          </c:extLst>
        </c:ser>
        <c:dLbls>
          <c:showLegendKey val="0"/>
          <c:showVal val="0"/>
          <c:showCatName val="0"/>
          <c:showSerName val="0"/>
          <c:showPercent val="0"/>
          <c:showBubbleSize val="0"/>
        </c:dLbls>
        <c:axId val="232635472"/>
        <c:axId val="455724816"/>
      </c:scatterChart>
      <c:valAx>
        <c:axId val="232635472"/>
        <c:scaling>
          <c:orientation val="minMax"/>
          <c:max val="15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Yield</a:t>
                </a:r>
                <a:r>
                  <a:rPr lang="en-CA" baseline="0"/>
                  <a:t> (lbs/acre)</a:t>
                </a:r>
                <a:endParaRPr lang="en-CA"/>
              </a:p>
            </c:rich>
          </c:tx>
          <c:layout>
            <c:manualLayout>
              <c:xMode val="edge"/>
              <c:yMode val="edge"/>
              <c:x val="0.48155548544288768"/>
              <c:y val="0.924867283109902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wrap="square" anchor="b" anchorCtr="1"/>
          <a:lstStyle/>
          <a:p>
            <a:pPr>
              <a:defRPr sz="900" b="0" i="0" u="none" strike="noStrike" kern="1200" baseline="0">
                <a:solidFill>
                  <a:schemeClr val="lt1"/>
                </a:solidFill>
                <a:latin typeface="+mn-lt"/>
                <a:ea typeface="+mn-ea"/>
                <a:cs typeface="+mn-cs"/>
              </a:defRPr>
            </a:pPr>
            <a:endParaRPr lang="en-US"/>
          </a:p>
        </c:txPr>
        <c:crossAx val="455724816"/>
        <c:crosses val="autoZero"/>
        <c:crossBetween val="midCat"/>
        <c:majorUnit val="1000"/>
      </c:valAx>
      <c:valAx>
        <c:axId val="45572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232635472"/>
        <c:crosses val="autoZero"/>
        <c:crossBetween val="midCat"/>
      </c:valAx>
      <c:spPr>
        <a:noFill/>
        <a:ln>
          <a:noFill/>
        </a:ln>
        <a:effectLst/>
      </c:spPr>
    </c:plotArea>
    <c:legend>
      <c:legendPos val="r"/>
      <c:layout>
        <c:manualLayout>
          <c:xMode val="edge"/>
          <c:yMode val="edge"/>
          <c:x val="0.72836676369806364"/>
          <c:y val="0.60815953590020999"/>
          <c:w val="0.23589190989445546"/>
          <c:h val="0.19049551123292821"/>
        </c:manualLayout>
      </c:layout>
      <c:overlay val="1"/>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a:t>
            </a:r>
            <a:r>
              <a:rPr lang="en-CA" baseline="0"/>
              <a:t> vs. Blueberry Vine Coverage</a:t>
            </a:r>
            <a:endParaRPr lang="en-CA"/>
          </a:p>
        </c:rich>
      </c:tx>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scatterChart>
        <c:scatterStyle val="smoothMarker"/>
        <c:varyColors val="0"/>
        <c:ser>
          <c:idx val="5"/>
          <c:order val="0"/>
          <c:tx>
            <c:strRef>
              <c:f>'Break even chart'!$AH$4</c:f>
              <c:strCache>
                <c:ptCount val="1"/>
                <c:pt idx="0">
                  <c:v>Break even</c:v>
                </c:pt>
              </c:strCache>
            </c:strRef>
          </c:tx>
          <c:spPr>
            <a:ln w="19050" cap="rnd">
              <a:solidFill>
                <a:srgbClr val="FF0000"/>
              </a:solidFill>
              <a:round/>
            </a:ln>
            <a:effectLst/>
          </c:spPr>
          <c:marker>
            <c:symbol val="circle"/>
            <c:size val="5"/>
            <c:spPr>
              <a:noFill/>
              <a:ln w="9525">
                <a:noFill/>
              </a:ln>
              <a:effectLst/>
            </c:spPr>
          </c:marker>
          <c:xVal>
            <c:numRef>
              <c:f>'Break even chart'!$AC$19:$AC$29</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 even chart'!$AF$19:$AF$29</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0-A9FD-48CF-83A2-512B1515F657}"/>
            </c:ext>
          </c:extLst>
        </c:ser>
        <c:ser>
          <c:idx val="1"/>
          <c:order val="1"/>
          <c:tx>
            <c:strRef>
              <c:f>'Break even chart'!$AH$5</c:f>
              <c:strCache>
                <c:ptCount val="1"/>
                <c:pt idx="0">
                  <c:v>No agrochemical input</c:v>
                </c:pt>
              </c:strCache>
            </c:strRef>
          </c:tx>
          <c:spPr>
            <a:ln w="19050" cap="rnd">
              <a:solidFill>
                <a:schemeClr val="accent6">
                  <a:lumMod val="20000"/>
                  <a:lumOff val="80000"/>
                </a:schemeClr>
              </a:solidFill>
              <a:round/>
            </a:ln>
            <a:effectLst/>
          </c:spPr>
          <c:marker>
            <c:symbol val="circle"/>
            <c:size val="5"/>
            <c:spPr>
              <a:solidFill>
                <a:schemeClr val="accent6">
                  <a:lumMod val="20000"/>
                  <a:lumOff val="80000"/>
                </a:schemeClr>
              </a:solidFill>
              <a:ln w="9525">
                <a:noFill/>
              </a:ln>
              <a:effectLst/>
            </c:spPr>
          </c:marker>
          <c:xVal>
            <c:numRef>
              <c:f>'Break even chart'!$AC$19:$AC$29</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 even chart'!$AE$19:$AE$29</c:f>
              <c:numCache>
                <c:formatCode>"$"#,##0.00</c:formatCode>
                <c:ptCount val="11"/>
                <c:pt idx="0">
                  <c:v>-14800</c:v>
                </c:pt>
                <c:pt idx="1">
                  <c:v>-7866.6666666666661</c:v>
                </c:pt>
                <c:pt idx="2">
                  <c:v>-933.33333333333212</c:v>
                </c:pt>
                <c:pt idx="3">
                  <c:v>5999.9999999999964</c:v>
                </c:pt>
                <c:pt idx="4">
                  <c:v>12933.333333333336</c:v>
                </c:pt>
                <c:pt idx="5">
                  <c:v>19866.666666666664</c:v>
                </c:pt>
                <c:pt idx="6">
                  <c:v>26799.999999999993</c:v>
                </c:pt>
                <c:pt idx="7">
                  <c:v>33733.333333333328</c:v>
                </c:pt>
                <c:pt idx="8">
                  <c:v>40666.666666666672</c:v>
                </c:pt>
                <c:pt idx="9">
                  <c:v>47600</c:v>
                </c:pt>
                <c:pt idx="10">
                  <c:v>54533.333333333328</c:v>
                </c:pt>
              </c:numCache>
            </c:numRef>
          </c:yVal>
          <c:smooth val="1"/>
          <c:extLst>
            <c:ext xmlns:c16="http://schemas.microsoft.com/office/drawing/2014/chart" uri="{C3380CC4-5D6E-409C-BE32-E72D297353CC}">
              <c16:uniqueId val="{00000001-A9FD-48CF-83A2-512B1515F657}"/>
            </c:ext>
          </c:extLst>
        </c:ser>
        <c:ser>
          <c:idx val="0"/>
          <c:order val="2"/>
          <c:tx>
            <c:strRef>
              <c:f>'Break 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 even chart'!$AC$19:$AC$29</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 even chart'!$AD$19:$AD$29</c:f>
              <c:numCache>
                <c:formatCode>"$"#,##0.00</c:formatCode>
                <c:ptCount val="11"/>
                <c:pt idx="0">
                  <c:v>-14800</c:v>
                </c:pt>
                <c:pt idx="1">
                  <c:v>-7866.6666666666661</c:v>
                </c:pt>
                <c:pt idx="2">
                  <c:v>-933.33333333333212</c:v>
                </c:pt>
                <c:pt idx="3">
                  <c:v>5999.9999999999964</c:v>
                </c:pt>
                <c:pt idx="4">
                  <c:v>12933.333333333336</c:v>
                </c:pt>
                <c:pt idx="5">
                  <c:v>19866.666666666664</c:v>
                </c:pt>
                <c:pt idx="6">
                  <c:v>26799.999999999993</c:v>
                </c:pt>
                <c:pt idx="7">
                  <c:v>33733.333333333328</c:v>
                </c:pt>
                <c:pt idx="8">
                  <c:v>40666.666666666672</c:v>
                </c:pt>
                <c:pt idx="9">
                  <c:v>47600</c:v>
                </c:pt>
                <c:pt idx="10">
                  <c:v>54533.333333333328</c:v>
                </c:pt>
              </c:numCache>
            </c:numRef>
          </c:yVal>
          <c:smooth val="1"/>
          <c:extLst>
            <c:ext xmlns:c16="http://schemas.microsoft.com/office/drawing/2014/chart" uri="{C3380CC4-5D6E-409C-BE32-E72D297353CC}">
              <c16:uniqueId val="{00000005-A9FD-48CF-83A2-512B1515F657}"/>
            </c:ext>
          </c:extLst>
        </c:ser>
        <c:dLbls>
          <c:showLegendKey val="0"/>
          <c:showVal val="0"/>
          <c:showCatName val="0"/>
          <c:showSerName val="0"/>
          <c:showPercent val="0"/>
          <c:showBubbleSize val="0"/>
        </c:dLbls>
        <c:axId val="23654400"/>
        <c:axId val="230731888"/>
      </c:scatterChart>
      <c:valAx>
        <c:axId val="2365440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Vine</a:t>
                </a:r>
                <a:r>
                  <a:rPr lang="en-CA" baseline="0"/>
                  <a:t> Coverage (%)</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230731888"/>
        <c:crosses val="autoZero"/>
        <c:crossBetween val="midCat"/>
      </c:valAx>
      <c:valAx>
        <c:axId val="230731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23654400"/>
        <c:crosses val="autoZero"/>
        <c:crossBetween val="midCat"/>
      </c:valAx>
      <c:spPr>
        <a:noFill/>
        <a:ln>
          <a:noFill/>
        </a:ln>
        <a:effectLst/>
      </c:spPr>
    </c:plotArea>
    <c:legend>
      <c:legendPos val="r"/>
      <c:layout>
        <c:manualLayout>
          <c:xMode val="edge"/>
          <c:yMode val="edge"/>
          <c:x val="0.71061547257756652"/>
          <c:y val="0.64926459689947014"/>
          <c:w val="0.2432372293432693"/>
          <c:h val="0.21317434908156863"/>
        </c:manualLayout>
      </c:layout>
      <c:overlay val="1"/>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CA"/>
              <a:t>Field Input Cost Comparison</a:t>
            </a:r>
          </a:p>
        </c:rich>
      </c:tx>
      <c:layout>
        <c:manualLayout>
          <c:xMode val="edge"/>
          <c:yMode val="edge"/>
          <c:x val="1.6754292927200463E-2"/>
          <c:y val="1.784053686744954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E45B-45EF-81C4-1400BC40C20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E45B-45EF-81C4-1400BC40C20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E45B-45EF-81C4-1400BC40C20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61D-4C15-AC05-F7FC93BE78D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61D-4C15-AC05-F7FC93BE78DB}"/>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A61D-4C15-AC05-F7FC93BE78D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A61D-4C15-AC05-F7FC93BE78D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A61D-4C15-AC05-F7FC93BE78D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A61D-4C15-AC05-F7FC93BE78D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A61D-4C15-AC05-F7FC93BE78DB}"/>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E45B-45EF-81C4-1400BC40C204}"/>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392C-4EF2-9FD4-BCF31770E46A}"/>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392C-4EF2-9FD4-BCF31770E46A}"/>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392C-4EF2-9FD4-BCF31770E46A}"/>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D-392C-4EF2-9FD4-BCF31770E46A}"/>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F-8369-4071-AB9F-984E1394E159}"/>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1-8369-4071-AB9F-984E1394E159}"/>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3-8369-4071-AB9F-984E1394E159}"/>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5-C311-4D78-B602-B9C10C213AFA}"/>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7-C311-4D78-B602-B9C10C213AFA}"/>
              </c:ext>
            </c:extLst>
          </c:dPt>
          <c:dPt>
            <c:idx val="2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9-C311-4D78-B602-B9C10C213AFA}"/>
              </c:ext>
            </c:extLst>
          </c:dPt>
          <c:dLbls>
            <c:dLbl>
              <c:idx val="0"/>
              <c:layout>
                <c:manualLayout>
                  <c:x val="-3.5431439393939397E-2"/>
                  <c:y val="-3.86463601532567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45B-45EF-81C4-1400BC40C204}"/>
                </c:ext>
              </c:extLst>
            </c:dLbl>
            <c:dLbl>
              <c:idx val="1"/>
              <c:layout>
                <c:manualLayout>
                  <c:x val="4.8293686868686868E-2"/>
                  <c:y val="-6.09003831417624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45B-45EF-81C4-1400BC40C204}"/>
                </c:ext>
              </c:extLst>
            </c:dLbl>
            <c:dLbl>
              <c:idx val="9"/>
              <c:layout>
                <c:manualLayout>
                  <c:x val="8.7525631313131319E-2"/>
                  <c:y val="2.42659003831417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61D-4C15-AC05-F7FC93BE78DB}"/>
                </c:ext>
              </c:extLst>
            </c:dLbl>
            <c:dLbl>
              <c:idx val="20"/>
              <c:layout>
                <c:manualLayout>
                  <c:x val="-4.29114898989899E-2"/>
                  <c:y val="5.79770114942528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9-C311-4D78-B602-B9C10C213AFA}"/>
                </c:ext>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'Price list'!$BD$4:$BD$24</c:f>
              <c:strCache>
                <c:ptCount val="21"/>
                <c:pt idx="0">
                  <c:v>BB producers dues</c:v>
                </c:pt>
                <c:pt idx="1">
                  <c:v>Crop insurance</c:v>
                </c:pt>
                <c:pt idx="2">
                  <c:v>Seminars </c:v>
                </c:pt>
                <c:pt idx="3">
                  <c:v>Office supplies &amp; bookkeeping</c:v>
                </c:pt>
                <c:pt idx="4">
                  <c:v>Land levelling </c:v>
                </c:pt>
                <c:pt idx="5">
                  <c:v>Land cost</c:v>
                </c:pt>
                <c:pt idx="6">
                  <c:v>Soil samples</c:v>
                </c:pt>
                <c:pt idx="7">
                  <c:v>Tissue samples</c:v>
                </c:pt>
                <c:pt idx="8">
                  <c:v>Insect monitoring</c:v>
                </c:pt>
                <c:pt idx="9">
                  <c:v>Field scouting</c:v>
                </c:pt>
                <c:pt idx="10">
                  <c:v>Irrigation</c:v>
                </c:pt>
                <c:pt idx="11">
                  <c:v>Frost control</c:v>
                </c:pt>
                <c:pt idx="12">
                  <c:v>Weed wiping</c:v>
                </c:pt>
                <c:pt idx="13">
                  <c:v>Herbicide</c:v>
                </c:pt>
                <c:pt idx="14">
                  <c:v>Fungicide</c:v>
                </c:pt>
                <c:pt idx="15">
                  <c:v>Insecticide</c:v>
                </c:pt>
                <c:pt idx="16">
                  <c:v>Fertilizer</c:v>
                </c:pt>
                <c:pt idx="17">
                  <c:v>Pollination</c:v>
                </c:pt>
                <c:pt idx="18">
                  <c:v>Harvesting</c:v>
                </c:pt>
                <c:pt idx="19">
                  <c:v>Trucking</c:v>
                </c:pt>
                <c:pt idx="20">
                  <c:v>Pruning</c:v>
                </c:pt>
              </c:strCache>
            </c:strRef>
          </c:cat>
          <c:val>
            <c:numRef>
              <c:f>'Price list'!$BK$4:$BK$24</c:f>
              <c:numCache>
                <c:formatCode>_(* #,##0.00_);_(* \(#,##0.00\);_(* "-"??_);_(@_)</c:formatCode>
                <c:ptCount val="21"/>
                <c:pt idx="0">
                  <c:v>4.3918918918918921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33.783783783783782</c:v>
                </c:pt>
                <c:pt idx="18">
                  <c:v>48.310810810810814</c:v>
                </c:pt>
                <c:pt idx="19">
                  <c:v>8.7837837837837842</c:v>
                </c:pt>
                <c:pt idx="20">
                  <c:v>4.7297297297297298</c:v>
                </c:pt>
              </c:numCache>
            </c:numRef>
          </c:val>
          <c:extLst>
            <c:ext xmlns:c16="http://schemas.microsoft.com/office/drawing/2014/chart" uri="{C3380CC4-5D6E-409C-BE32-E72D297353CC}">
              <c16:uniqueId val="{00000000-E45B-45EF-81C4-1400BC40C204}"/>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CA"/>
              <a:t>Revenue vs. Expenses</a:t>
            </a:r>
          </a:p>
        </c:rich>
      </c:tx>
      <c:layout>
        <c:manualLayout>
          <c:xMode val="edge"/>
          <c:yMode val="edge"/>
          <c:x val="2.7407653910149713E-2"/>
          <c:y val="1.84769310544956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517-4E6A-91BD-4670E2013C2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4517-4E6A-91BD-4670E2013C2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4517-4E6A-91BD-4670E2013C2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4517-4E6A-91BD-4670E2013C2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4517-4E6A-91BD-4670E2013C2E}"/>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4517-4E6A-91BD-4670E2013C2E}"/>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4517-4E6A-91BD-4670E2013C2E}"/>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4517-4E6A-91BD-4670E2013C2E}"/>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4517-4E6A-91BD-4670E2013C2E}"/>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4517-4E6A-91BD-4670E2013C2E}"/>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4517-4E6A-91BD-4670E2013C2E}"/>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4517-4E6A-91BD-4670E2013C2E}"/>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AB7D-430C-81D7-ED4A0A6B4D1A}"/>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AB7D-430C-81D7-ED4A0A6B4D1A}"/>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D-AB7D-430C-81D7-ED4A0A6B4D1A}"/>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F-AB7D-430C-81D7-ED4A0A6B4D1A}"/>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1-4715-446E-B4F0-B8C99067D406}"/>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3-4715-446E-B4F0-B8C99067D406}"/>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5-4715-446E-B4F0-B8C99067D406}"/>
              </c:ext>
            </c:extLst>
          </c:dPt>
          <c:dLbls>
            <c:dLbl>
              <c:idx val="0"/>
              <c:layout>
                <c:manualLayout>
                  <c:x val="-0.10951679292929294"/>
                  <c:y val="8.838505747126424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17-4E6A-91BD-4670E2013C2E}"/>
                </c:ext>
              </c:extLst>
            </c:dLbl>
            <c:dLbl>
              <c:idx val="1"/>
              <c:layout>
                <c:manualLayout>
                  <c:x val="-6.6314267676767735E-2"/>
                  <c:y val="-6.898199233716474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517-4E6A-91BD-4670E2013C2E}"/>
                </c:ext>
              </c:extLst>
            </c:dLbl>
            <c:dLbl>
              <c:idx val="6"/>
              <c:layout>
                <c:manualLayout>
                  <c:x val="3.0615640599001664E-2"/>
                  <c:y val="-1.53974425454130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517-4E6A-91BD-4670E2013C2E}"/>
                </c:ext>
              </c:extLst>
            </c:dLbl>
            <c:dLbl>
              <c:idx val="10"/>
              <c:layout>
                <c:manualLayout>
                  <c:x val="2.9284469696969698E-2"/>
                  <c:y val="3.729406130268197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4517-4E6A-91BD-4670E2013C2E}"/>
                </c:ext>
              </c:extLst>
            </c:dLbl>
            <c:dLbl>
              <c:idx val="13"/>
              <c:layout>
                <c:manualLayout>
                  <c:x val="1.9242424242424241E-2"/>
                  <c:y val="3.1628352490421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AB7D-430C-81D7-ED4A0A6B4D1A}"/>
                </c:ext>
              </c:extLst>
            </c:dLbl>
            <c:dLbl>
              <c:idx val="14"/>
              <c:layout>
                <c:manualLayout>
                  <c:x val="0"/>
                  <c:y val="4.37931034482758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AB7D-430C-81D7-ED4A0A6B4D1A}"/>
                </c:ext>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'Price list'!$AN$4:$AN$22</c:f>
              <c:strCache>
                <c:ptCount val="19"/>
                <c:pt idx="0">
                  <c:v>BB producers dues</c:v>
                </c:pt>
                <c:pt idx="1">
                  <c:v>Crop insurance</c:v>
                </c:pt>
                <c:pt idx="2">
                  <c:v>Land cost</c:v>
                </c:pt>
                <c:pt idx="3">
                  <c:v>Soil samples</c:v>
                </c:pt>
                <c:pt idx="4">
                  <c:v>Tissue samples</c:v>
                </c:pt>
                <c:pt idx="5">
                  <c:v>Insect monitoring</c:v>
                </c:pt>
                <c:pt idx="6">
                  <c:v>Field scouting</c:v>
                </c:pt>
                <c:pt idx="7">
                  <c:v>Irrigation</c:v>
                </c:pt>
                <c:pt idx="8">
                  <c:v>Frost control</c:v>
                </c:pt>
                <c:pt idx="9">
                  <c:v>Weed wiping</c:v>
                </c:pt>
                <c:pt idx="10">
                  <c:v>Herbicide</c:v>
                </c:pt>
                <c:pt idx="11">
                  <c:v>Fungicide</c:v>
                </c:pt>
                <c:pt idx="12">
                  <c:v>Insecticide</c:v>
                </c:pt>
                <c:pt idx="13">
                  <c:v>Fertilizer</c:v>
                </c:pt>
                <c:pt idx="14">
                  <c:v>Pollination</c:v>
                </c:pt>
                <c:pt idx="15">
                  <c:v>Harvesting</c:v>
                </c:pt>
                <c:pt idx="16">
                  <c:v>Trucking</c:v>
                </c:pt>
                <c:pt idx="17">
                  <c:v>Pruning</c:v>
                </c:pt>
                <c:pt idx="18">
                  <c:v>Yield revenue</c:v>
                </c:pt>
              </c:strCache>
            </c:strRef>
          </c:cat>
          <c:val>
            <c:numRef>
              <c:f>'Price list'!$AO$4:$AO$22</c:f>
              <c:numCache>
                <c:formatCode>_("$"* #,##0.00_);_("$"* \(#,##0.00\);_("$"* "-"??_);_(@_)</c:formatCode>
                <c:ptCount val="19"/>
                <c:pt idx="0">
                  <c:v>650</c:v>
                </c:pt>
                <c:pt idx="1">
                  <c:v>0</c:v>
                </c:pt>
                <c:pt idx="2">
                  <c:v>0</c:v>
                </c:pt>
                <c:pt idx="3">
                  <c:v>0</c:v>
                </c:pt>
                <c:pt idx="4">
                  <c:v>0</c:v>
                </c:pt>
                <c:pt idx="5">
                  <c:v>0</c:v>
                </c:pt>
                <c:pt idx="6">
                  <c:v>0</c:v>
                </c:pt>
                <c:pt idx="7">
                  <c:v>0</c:v>
                </c:pt>
                <c:pt idx="8">
                  <c:v>0</c:v>
                </c:pt>
                <c:pt idx="9">
                  <c:v>0</c:v>
                </c:pt>
                <c:pt idx="10">
                  <c:v>0</c:v>
                </c:pt>
                <c:pt idx="11">
                  <c:v>0</c:v>
                </c:pt>
                <c:pt idx="12">
                  <c:v>0</c:v>
                </c:pt>
                <c:pt idx="13">
                  <c:v>0</c:v>
                </c:pt>
                <c:pt idx="14">
                  <c:v>5000</c:v>
                </c:pt>
                <c:pt idx="15">
                  <c:v>7150</c:v>
                </c:pt>
                <c:pt idx="16">
                  <c:v>1300</c:v>
                </c:pt>
                <c:pt idx="17">
                  <c:v>700</c:v>
                </c:pt>
                <c:pt idx="18">
                  <c:v>52000</c:v>
                </c:pt>
              </c:numCache>
            </c:numRef>
          </c:val>
          <c:extLst>
            <c:ext xmlns:c16="http://schemas.microsoft.com/office/drawing/2014/chart" uri="{C3380CC4-5D6E-409C-BE32-E72D297353CC}">
              <c16:uniqueId val="{00000018-4517-4E6A-91BD-4670E2013C2E}"/>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Historical</a:t>
            </a:r>
            <a:r>
              <a:rPr lang="en-US" b="1" baseline="0">
                <a:solidFill>
                  <a:schemeClr val="tx1"/>
                </a:solidFill>
              </a:rPr>
              <a:t> </a:t>
            </a:r>
            <a:r>
              <a:rPr lang="en-US" b="1">
                <a:solidFill>
                  <a:schemeClr val="tx1"/>
                </a:solidFill>
              </a:rPr>
              <a:t>Yield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v>Yield</c:v>
          </c:tx>
          <c:spPr>
            <a:ln w="28575" cap="rnd">
              <a:solidFill>
                <a:srgbClr val="FF0000"/>
              </a:solidFill>
              <a:round/>
            </a:ln>
            <a:effectLst/>
          </c:spPr>
          <c:marker>
            <c:symbol val="circle"/>
            <c:size val="5"/>
            <c:spPr>
              <a:solidFill>
                <a:schemeClr val="tx1"/>
              </a:solidFill>
              <a:ln w="9525">
                <a:solidFill>
                  <a:srgbClr val="FF0000"/>
                </a:solidFill>
              </a:ln>
              <a:effectLst/>
            </c:spPr>
          </c:marker>
          <c:cat>
            <c:numRef>
              <c:f>('Historical record'!$V$4,'Historical record'!$T$4,'Historical record'!$R$4,'Historical record'!$P$4,'Historical record'!$N$4,'Historical record'!$L$4,'Historical record'!$J$4,'Historical record'!$H$4,'Historical record'!$F$4,'Historical record'!$D$4)</c:f>
              <c:numCache>
                <c:formatCode>General</c:formatCode>
                <c:ptCount val="10"/>
              </c:numCache>
            </c:numRef>
          </c:cat>
          <c:val>
            <c:numRef>
              <c:f>('Historical record'!$V$6,'Historical record'!$T$6,'Historical record'!$R$6,'Historical record'!$P$6,'Historical record'!$N$6,'Historical record'!$L$6,'Historical record'!$J$6,'Historical record'!$H$6,'Historical record'!$F$6,'Historical record'!$D$6)</c:f>
              <c:numCache>
                <c:formatCode>#,##0</c:formatCode>
                <c:ptCount val="10"/>
              </c:numCache>
            </c:numRef>
          </c:val>
          <c:smooth val="0"/>
          <c:extLst>
            <c:ext xmlns:c16="http://schemas.microsoft.com/office/drawing/2014/chart" uri="{C3380CC4-5D6E-409C-BE32-E72D297353CC}">
              <c16:uniqueId val="{00000001-D3B7-4F7C-AD1F-7EED87FEE8D8}"/>
            </c:ext>
          </c:extLst>
        </c:ser>
        <c:dLbls>
          <c:showLegendKey val="0"/>
          <c:showVal val="0"/>
          <c:showCatName val="0"/>
          <c:showSerName val="0"/>
          <c:showPercent val="0"/>
          <c:showBubbleSize val="0"/>
        </c:dLbls>
        <c:marker val="1"/>
        <c:smooth val="0"/>
        <c:axId val="461966848"/>
        <c:axId val="461986200"/>
      </c:lineChart>
      <c:catAx>
        <c:axId val="461966848"/>
        <c:scaling>
          <c:orientation val="minMax"/>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a:solidFill>
                      <a:schemeClr val="tx1"/>
                    </a:solidFill>
                  </a:rPr>
                  <a:t>Harvest 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86200"/>
        <c:crosses val="autoZero"/>
        <c:auto val="1"/>
        <c:lblAlgn val="ctr"/>
        <c:lblOffset val="100"/>
        <c:noMultiLvlLbl val="0"/>
      </c:catAx>
      <c:valAx>
        <c:axId val="46198620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a:solidFill>
                      <a:schemeClr val="tx1"/>
                    </a:solidFill>
                  </a:rPr>
                  <a:t>Total</a:t>
                </a:r>
                <a:r>
                  <a:rPr lang="en-CA" b="1" baseline="0">
                    <a:solidFill>
                      <a:schemeClr val="tx1"/>
                    </a:solidFill>
                  </a:rPr>
                  <a:t> Yield (lb)</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66848"/>
        <c:crosses val="autoZero"/>
        <c:crossBetween val="between"/>
      </c:valAx>
      <c:spPr>
        <a:noFill/>
        <a:ln>
          <a:solidFill>
            <a:schemeClr val="accent3">
              <a:lumMod val="40000"/>
              <a:lumOff val="6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3">
        <a:lumMod val="40000"/>
        <a:lumOff val="6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Historical</a:t>
            </a:r>
            <a:r>
              <a:rPr lang="en-US" b="1" baseline="0">
                <a:solidFill>
                  <a:schemeClr val="tx1"/>
                </a:solidFill>
              </a:rPr>
              <a:t> Berry Field Price</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v>Yield</c:v>
          </c:tx>
          <c:spPr>
            <a:ln w="28575" cap="rnd">
              <a:solidFill>
                <a:srgbClr val="FF0000"/>
              </a:solidFill>
              <a:round/>
            </a:ln>
            <a:effectLst/>
          </c:spPr>
          <c:marker>
            <c:symbol val="circle"/>
            <c:size val="5"/>
            <c:spPr>
              <a:solidFill>
                <a:schemeClr val="tx1"/>
              </a:solidFill>
              <a:ln w="9525">
                <a:solidFill>
                  <a:srgbClr val="FF0000"/>
                </a:solidFill>
              </a:ln>
              <a:effectLst/>
            </c:spPr>
          </c:marker>
          <c:cat>
            <c:numRef>
              <c:f>('Historical record'!$V$4,'Historical record'!$T$4,'Historical record'!$R$4,'Historical record'!$P$4,'Historical record'!$N$4,'Historical record'!$L$4,'Historical record'!$J$4,'Historical record'!$H$4,'Historical record'!$F$4,'Historical record'!$D$4)</c:f>
              <c:numCache>
                <c:formatCode>General</c:formatCode>
                <c:ptCount val="10"/>
              </c:numCache>
            </c:numRef>
          </c:cat>
          <c:val>
            <c:numRef>
              <c:f>('Historical record'!$V$7,'Historical record'!$T$7,'Historical record'!$R$7,'Historical record'!$P$7,'Historical record'!$N$7,'Historical record'!$L$7,'Historical record'!$J$7,'Historical record'!$H$7,'Historical record'!$F$7,'Historical record'!$D$7)</c:f>
              <c:numCache>
                <c:formatCode>"$"#,##0.00</c:formatCode>
                <c:ptCount val="10"/>
              </c:numCache>
            </c:numRef>
          </c:val>
          <c:smooth val="0"/>
          <c:extLst>
            <c:ext xmlns:c16="http://schemas.microsoft.com/office/drawing/2014/chart" uri="{C3380CC4-5D6E-409C-BE32-E72D297353CC}">
              <c16:uniqueId val="{00000000-4089-4DCB-930A-FE7BB6F3E2B5}"/>
            </c:ext>
          </c:extLst>
        </c:ser>
        <c:dLbls>
          <c:showLegendKey val="0"/>
          <c:showVal val="0"/>
          <c:showCatName val="0"/>
          <c:showSerName val="0"/>
          <c:showPercent val="0"/>
          <c:showBubbleSize val="0"/>
        </c:dLbls>
        <c:marker val="1"/>
        <c:smooth val="0"/>
        <c:axId val="461966848"/>
        <c:axId val="461986200"/>
      </c:lineChart>
      <c:catAx>
        <c:axId val="461966848"/>
        <c:scaling>
          <c:orientation val="minMax"/>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a:solidFill>
                      <a:schemeClr val="tx1"/>
                    </a:solidFill>
                  </a:rPr>
                  <a:t>Harvest 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86200"/>
        <c:crosses val="autoZero"/>
        <c:auto val="1"/>
        <c:lblAlgn val="ctr"/>
        <c:lblOffset val="100"/>
        <c:noMultiLvlLbl val="0"/>
      </c:catAx>
      <c:valAx>
        <c:axId val="46198620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baseline="0">
                    <a:solidFill>
                      <a:schemeClr val="tx1"/>
                    </a:solidFill>
                  </a:rPr>
                  <a:t>Berry Price ($/lb)</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66848"/>
        <c:crosses val="autoZero"/>
        <c:crossBetween val="between"/>
      </c:valAx>
      <c:spPr>
        <a:noFill/>
        <a:ln>
          <a:solidFill>
            <a:schemeClr val="accent3">
              <a:lumMod val="40000"/>
              <a:lumOff val="6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3">
        <a:lumMod val="40000"/>
        <a:lumOff val="6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Historical</a:t>
            </a:r>
            <a:r>
              <a:rPr lang="en-US" b="1" baseline="0">
                <a:solidFill>
                  <a:schemeClr val="tx1"/>
                </a:solidFill>
              </a:rPr>
              <a:t> Yield Revenue</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v>Yield</c:v>
          </c:tx>
          <c:spPr>
            <a:ln w="28575" cap="rnd">
              <a:solidFill>
                <a:srgbClr val="FF0000"/>
              </a:solidFill>
              <a:round/>
            </a:ln>
            <a:effectLst/>
          </c:spPr>
          <c:marker>
            <c:symbol val="circle"/>
            <c:size val="5"/>
            <c:spPr>
              <a:solidFill>
                <a:schemeClr val="tx1"/>
              </a:solidFill>
              <a:ln w="9525">
                <a:solidFill>
                  <a:srgbClr val="FF0000"/>
                </a:solidFill>
              </a:ln>
              <a:effectLst/>
            </c:spPr>
          </c:marker>
          <c:cat>
            <c:numRef>
              <c:f>('Historical record'!$V$4,'Historical record'!$T$4,'Historical record'!$R$4,'Historical record'!$P$4,'Historical record'!$N$4,'Historical record'!$L$4,'Historical record'!$J$4,'Historical record'!$H$4,'Historical record'!$F$4,'Historical record'!$D$4)</c:f>
              <c:numCache>
                <c:formatCode>General</c:formatCode>
                <c:ptCount val="10"/>
              </c:numCache>
            </c:numRef>
          </c:cat>
          <c:val>
            <c:numRef>
              <c:f>('Historical record'!$V$13,'Historical record'!$T$13,'Historical record'!$R$13,'Historical record'!$P$13,'Historical record'!$N$13,'Historical record'!$L$13,'Historical record'!$J$13,'Historical record'!$H$13,'Historical record'!$F$13,'Historical record'!$D$13)</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B63-421B-8A1B-5524EC9C94E9}"/>
            </c:ext>
          </c:extLst>
        </c:ser>
        <c:dLbls>
          <c:showLegendKey val="0"/>
          <c:showVal val="0"/>
          <c:showCatName val="0"/>
          <c:showSerName val="0"/>
          <c:showPercent val="0"/>
          <c:showBubbleSize val="0"/>
        </c:dLbls>
        <c:marker val="1"/>
        <c:smooth val="0"/>
        <c:axId val="461966848"/>
        <c:axId val="461986200"/>
      </c:lineChart>
      <c:catAx>
        <c:axId val="461966848"/>
        <c:scaling>
          <c:orientation val="minMax"/>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a:solidFill>
                      <a:schemeClr val="tx1"/>
                    </a:solidFill>
                  </a:rPr>
                  <a:t>Harvest 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86200"/>
        <c:crosses val="autoZero"/>
        <c:auto val="1"/>
        <c:lblAlgn val="ctr"/>
        <c:lblOffset val="100"/>
        <c:noMultiLvlLbl val="0"/>
      </c:catAx>
      <c:valAx>
        <c:axId val="46198620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CA" b="1" baseline="0">
                    <a:solidFill>
                      <a:schemeClr val="tx1"/>
                    </a:solidFill>
                  </a:rPr>
                  <a:t>Yield Revenue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1966848"/>
        <c:crosses val="autoZero"/>
        <c:crossBetween val="between"/>
      </c:valAx>
      <c:spPr>
        <a:noFill/>
        <a:ln>
          <a:solidFill>
            <a:schemeClr val="accent3">
              <a:lumMod val="40000"/>
              <a:lumOff val="6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3">
        <a:lumMod val="40000"/>
        <a:lumOff val="6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start"/><Relationship Id="rId1" Type="http://schemas.openxmlformats.org/officeDocument/2006/relationships/hyperlink" Target="#Instructions"/></Relationships>
</file>

<file path=xl/drawings/_rels/drawing10.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jpeg"/><Relationship Id="rId7" Type="http://schemas.openxmlformats.org/officeDocument/2006/relationships/image" Target="../media/image9.png"/><Relationship Id="rId2" Type="http://schemas.openxmlformats.org/officeDocument/2006/relationships/image" Target="../media/image4.jpeg"/><Relationship Id="rId1" Type="http://schemas.openxmlformats.org/officeDocument/2006/relationships/hyperlink" Target="#start"/><Relationship Id="rId6" Type="http://schemas.openxmlformats.org/officeDocument/2006/relationships/image" Target="../media/image8.jpeg"/><Relationship Id="rId11" Type="http://schemas.openxmlformats.org/officeDocument/2006/relationships/image" Target="../media/image13.png"/><Relationship Id="rId5" Type="http://schemas.openxmlformats.org/officeDocument/2006/relationships/image" Target="../media/image7.jpeg"/><Relationship Id="rId10" Type="http://schemas.openxmlformats.org/officeDocument/2006/relationships/image" Target="../media/image12.jpg"/><Relationship Id="rId4" Type="http://schemas.openxmlformats.org/officeDocument/2006/relationships/image" Target="../media/image6.jpeg"/><Relationship Id="rId9"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hyperlink" Target="#start"/></Relationships>
</file>

<file path=xl/drawings/_rels/drawing2.xml.rels><?xml version="1.0" encoding="UTF-8" standalone="yes"?>
<Relationships xmlns="http://schemas.openxmlformats.org/package/2006/relationships"><Relationship Id="rId1" Type="http://schemas.openxmlformats.org/officeDocument/2006/relationships/hyperlink" Target="#start"/></Relationships>
</file>

<file path=xl/drawings/_rels/drawing3.xml.rels><?xml version="1.0" encoding="UTF-8" standalone="yes"?>
<Relationships xmlns="http://schemas.openxmlformats.org/package/2006/relationships"><Relationship Id="rId8" Type="http://schemas.openxmlformats.org/officeDocument/2006/relationships/hyperlink" Target="#Unit_converter"/><Relationship Id="rId3" Type="http://schemas.openxmlformats.org/officeDocument/2006/relationships/image" Target="../media/image2.jpeg"/><Relationship Id="rId7" Type="http://schemas.openxmlformats.org/officeDocument/2006/relationships/hyperlink" Target="#Agrochemical_costs"/><Relationship Id="rId2" Type="http://schemas.openxmlformats.org/officeDocument/2006/relationships/image" Target="../media/image1.jpeg"/><Relationship Id="rId1" Type="http://schemas.openxmlformats.org/officeDocument/2006/relationships/hyperlink" Target="#Acknowledgements"/><Relationship Id="rId6" Type="http://schemas.openxmlformats.org/officeDocument/2006/relationships/hyperlink" Target="#Field_input_costs"/><Relationship Id="rId5" Type="http://schemas.openxmlformats.org/officeDocument/2006/relationships/hyperlink" Target="#'Contact us'!A1"/><Relationship Id="rId10" Type="http://schemas.openxmlformats.org/officeDocument/2006/relationships/image" Target="../media/image3.jpeg"/><Relationship Id="rId4" Type="http://schemas.openxmlformats.org/officeDocument/2006/relationships/hyperlink" Target="#Break_even_charts"/><Relationship Id="rId9" Type="http://schemas.openxmlformats.org/officeDocument/2006/relationships/hyperlink" Target="#'Historical record'!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in_med_max_agro_inputs"/><Relationship Id="rId5" Type="http://schemas.openxmlformats.org/officeDocument/2006/relationships/hyperlink" Target="#start"/><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Break_even_charts"/><Relationship Id="rId1" Type="http://schemas.openxmlformats.org/officeDocument/2006/relationships/hyperlink" Target="#start"/><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hyperlink" Target="#start"/></Relationships>
</file>

<file path=xl/drawings/drawing1.xml><?xml version="1.0" encoding="utf-8"?>
<xdr:wsDr xmlns:xdr="http://schemas.openxmlformats.org/drawingml/2006/spreadsheetDrawing" xmlns:a="http://schemas.openxmlformats.org/drawingml/2006/main">
  <xdr:twoCellAnchor>
    <xdr:from>
      <xdr:col>5</xdr:col>
      <xdr:colOff>297307</xdr:colOff>
      <xdr:row>27</xdr:row>
      <xdr:rowOff>38680</xdr:rowOff>
    </xdr:from>
    <xdr:to>
      <xdr:col>16</xdr:col>
      <xdr:colOff>301513</xdr:colOff>
      <xdr:row>30</xdr:row>
      <xdr:rowOff>66401</xdr:rowOff>
    </xdr:to>
    <xdr:grpSp>
      <xdr:nvGrpSpPr>
        <xdr:cNvPr id="8" name="Group 7">
          <a:extLst>
            <a:ext uri="{FF2B5EF4-FFF2-40B4-BE49-F238E27FC236}">
              <a16:creationId xmlns:a16="http://schemas.microsoft.com/office/drawing/2014/main" id="{0179F0C5-B37B-493D-9C14-0A27E97D8C65}"/>
            </a:ext>
          </a:extLst>
        </xdr:cNvPr>
        <xdr:cNvGrpSpPr/>
      </xdr:nvGrpSpPr>
      <xdr:grpSpPr>
        <a:xfrm>
          <a:off x="3036274" y="5211813"/>
          <a:ext cx="7082339" cy="582288"/>
          <a:chOff x="2261839" y="9176737"/>
          <a:chExt cx="7142003" cy="575409"/>
        </a:xfrm>
      </xdr:grpSpPr>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261839" y="9181436"/>
            <a:ext cx="3216137" cy="57071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200">
                <a:solidFill>
                  <a:srgbClr val="FFFF00"/>
                </a:solidFill>
              </a:rPr>
              <a:t>Click here </a:t>
            </a:r>
            <a:r>
              <a:rPr lang="en-CA" sz="1200">
                <a:solidFill>
                  <a:schemeClr val="lt1"/>
                </a:solidFill>
              </a:rPr>
              <a:t>for</a:t>
            </a:r>
            <a:r>
              <a:rPr lang="en-CA" sz="1200" baseline="0">
                <a:solidFill>
                  <a:schemeClr val="lt1"/>
                </a:solidFill>
              </a:rPr>
              <a:t> </a:t>
            </a:r>
            <a:r>
              <a:rPr lang="en-CA" sz="1200" u="sng" cap="all" baseline="0">
                <a:solidFill>
                  <a:schemeClr val="lt1"/>
                </a:solidFill>
              </a:rPr>
              <a:t>instructions</a:t>
            </a:r>
            <a:r>
              <a:rPr lang="en-CA" sz="1200" baseline="0">
                <a:solidFill>
                  <a:schemeClr val="lt1"/>
                </a:solidFill>
              </a:rPr>
              <a:t> </a:t>
            </a:r>
            <a:endParaRPr lang="en-CA" sz="1200" u="sng"/>
          </a:p>
        </xdr:txBody>
      </xdr:sp>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6187201" y="9176737"/>
            <a:ext cx="3216641" cy="57071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200">
                <a:solidFill>
                  <a:srgbClr val="FFFF00"/>
                </a:solidFill>
              </a:rPr>
              <a:t>Click here </a:t>
            </a:r>
            <a:r>
              <a:rPr lang="en-CA" sz="1200">
                <a:solidFill>
                  <a:schemeClr val="lt1"/>
                </a:solidFill>
              </a:rPr>
              <a:t>to </a:t>
            </a:r>
            <a:r>
              <a:rPr lang="en-CA" sz="1200" u="sng">
                <a:solidFill>
                  <a:schemeClr val="lt1"/>
                </a:solidFill>
              </a:rPr>
              <a:t>START</a:t>
            </a:r>
            <a:endParaRPr lang="en-CA" sz="1200" u="sng"/>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xdr:colOff>
      <xdr:row>1</xdr:row>
      <xdr:rowOff>57149</xdr:rowOff>
    </xdr:from>
    <xdr:to>
      <xdr:col>6</xdr:col>
      <xdr:colOff>371024</xdr:colOff>
      <xdr:row>1</xdr:row>
      <xdr:rowOff>348749</xdr:rowOff>
    </xdr:to>
    <xdr:sp macro="" textlink="">
      <xdr:nvSpPr>
        <xdr:cNvPr id="11" name="Rectangle: Rounded Corners 1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690562" y="57149"/>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14</xdr:col>
      <xdr:colOff>494107</xdr:colOff>
      <xdr:row>33</xdr:row>
      <xdr:rowOff>174114</xdr:rowOff>
    </xdr:from>
    <xdr:to>
      <xdr:col>18</xdr:col>
      <xdr:colOff>535894</xdr:colOff>
      <xdr:row>39</xdr:row>
      <xdr:rowOff>13611</xdr:rowOff>
    </xdr:to>
    <xdr:pic>
      <xdr:nvPicPr>
        <xdr:cNvPr id="14" name="Picture 13">
          <a:extLst>
            <a:ext uri="{FF2B5EF4-FFF2-40B4-BE49-F238E27FC236}">
              <a16:creationId xmlns:a16="http://schemas.microsoft.com/office/drawing/2014/main" id="{14D4493A-CB95-4921-9981-803AA1FEABD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565" b="13879"/>
        <a:stretch/>
      </xdr:blipFill>
      <xdr:spPr>
        <a:xfrm>
          <a:off x="9073411" y="6555864"/>
          <a:ext cx="2627144" cy="941676"/>
        </a:xfrm>
        <a:prstGeom prst="rect">
          <a:avLst/>
        </a:prstGeom>
        <a:ln w="19050">
          <a:solidFill>
            <a:schemeClr val="tx1"/>
          </a:solidFill>
        </a:ln>
      </xdr:spPr>
    </xdr:pic>
    <xdr:clientData/>
  </xdr:twoCellAnchor>
  <xdr:twoCellAnchor editAs="oneCell">
    <xdr:from>
      <xdr:col>1</xdr:col>
      <xdr:colOff>208360</xdr:colOff>
      <xdr:row>18</xdr:row>
      <xdr:rowOff>130970</xdr:rowOff>
    </xdr:from>
    <xdr:to>
      <xdr:col>4</xdr:col>
      <xdr:colOff>374457</xdr:colOff>
      <xdr:row>25</xdr:row>
      <xdr:rowOff>96440</xdr:rowOff>
    </xdr:to>
    <xdr:pic>
      <xdr:nvPicPr>
        <xdr:cNvPr id="19" name="Picture 18">
          <a:extLst>
            <a:ext uri="{FF2B5EF4-FFF2-40B4-BE49-F238E27FC236}">
              <a16:creationId xmlns:a16="http://schemas.microsoft.com/office/drawing/2014/main" id="{EF49E7E4-862F-48CF-A829-0C838A050F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6954" y="3684986"/>
          <a:ext cx="2112769" cy="1215627"/>
        </a:xfrm>
        <a:prstGeom prst="rect">
          <a:avLst/>
        </a:prstGeom>
        <a:ln w="19050">
          <a:solidFill>
            <a:schemeClr val="tx1"/>
          </a:solidFill>
        </a:ln>
      </xdr:spPr>
    </xdr:pic>
    <xdr:clientData/>
  </xdr:twoCellAnchor>
  <xdr:twoCellAnchor>
    <xdr:from>
      <xdr:col>1</xdr:col>
      <xdr:colOff>209566</xdr:colOff>
      <xdr:row>2</xdr:row>
      <xdr:rowOff>195261</xdr:rowOff>
    </xdr:from>
    <xdr:to>
      <xdr:col>18</xdr:col>
      <xdr:colOff>476250</xdr:colOff>
      <xdr:row>39</xdr:row>
      <xdr:rowOff>145020</xdr:rowOff>
    </xdr:to>
    <xdr:grpSp>
      <xdr:nvGrpSpPr>
        <xdr:cNvPr id="21" name="Group 20">
          <a:extLst>
            <a:ext uri="{FF2B5EF4-FFF2-40B4-BE49-F238E27FC236}">
              <a16:creationId xmlns:a16="http://schemas.microsoft.com/office/drawing/2014/main" id="{990D555D-FAE8-4B66-A9FA-7EFB20DB2967}"/>
            </a:ext>
          </a:extLst>
        </xdr:cNvPr>
        <xdr:cNvGrpSpPr/>
      </xdr:nvGrpSpPr>
      <xdr:grpSpPr>
        <a:xfrm>
          <a:off x="384947" y="624642"/>
          <a:ext cx="11212874" cy="6916617"/>
          <a:chOff x="386459" y="630690"/>
          <a:chExt cx="11254452" cy="6998259"/>
        </a:xfrm>
      </xdr:grpSpPr>
      <xdr:grpSp>
        <xdr:nvGrpSpPr>
          <xdr:cNvPr id="12" name="Group 11">
            <a:extLst>
              <a:ext uri="{FF2B5EF4-FFF2-40B4-BE49-F238E27FC236}">
                <a16:creationId xmlns:a16="http://schemas.microsoft.com/office/drawing/2014/main" id="{00000000-0008-0000-0600-00000C000000}"/>
              </a:ext>
            </a:extLst>
          </xdr:cNvPr>
          <xdr:cNvGrpSpPr/>
        </xdr:nvGrpSpPr>
        <xdr:grpSpPr>
          <a:xfrm>
            <a:off x="386459" y="630690"/>
            <a:ext cx="11162161" cy="6998259"/>
            <a:chOff x="890498" y="628649"/>
            <a:chExt cx="11184313" cy="6901692"/>
          </a:xfrm>
        </xdr:grpSpPr>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0498" y="628649"/>
              <a:ext cx="1844121" cy="1755353"/>
            </a:xfrm>
            <a:prstGeom prst="rect">
              <a:avLst/>
            </a:prstGeom>
            <a:ln w="19050">
              <a:solidFill>
                <a:schemeClr val="tx1"/>
              </a:solidFill>
            </a:ln>
            <a:effectLst/>
          </xdr:spPr>
        </xdr:pic>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5010" t="12404" r="4176" b="10613"/>
            <a:stretch/>
          </xdr:blipFill>
          <xdr:spPr>
            <a:xfrm>
              <a:off x="3752849" y="1228725"/>
              <a:ext cx="4758950" cy="1322843"/>
            </a:xfrm>
            <a:prstGeom prst="rect">
              <a:avLst/>
            </a:prstGeom>
            <a:ln w="19050">
              <a:solidFill>
                <a:schemeClr val="tx1"/>
              </a:solidFill>
            </a:ln>
            <a:effectLst/>
          </xdr:spPr>
        </xdr:pic>
        <xdr:pic>
          <xdr:nvPicPr>
            <xdr:cNvPr id="5" name="Picture 4" descr="Wild Blueberry Producers Association of Nova Scotia">
              <a:extLst>
                <a:ext uri="{FF2B5EF4-FFF2-40B4-BE49-F238E27FC236}">
                  <a16:creationId xmlns:a16="http://schemas.microsoft.com/office/drawing/2014/main" id="{00000000-0008-0000-0600-000005000000}"/>
                </a:ext>
              </a:extLst>
            </xdr:cNvPr>
            <xdr:cNvPicPr>
              <a:picLocks noChangeArrowheads="1"/>
            </xdr:cNvPicPr>
          </xdr:nvPicPr>
          <xdr:blipFill>
            <a:blip xmlns:r="http://schemas.openxmlformats.org/officeDocument/2006/relationships" r:embed="rId6"/>
            <a:srcRect/>
            <a:stretch>
              <a:fillRect/>
            </a:stretch>
          </xdr:blipFill>
          <xdr:spPr bwMode="auto">
            <a:xfrm>
              <a:off x="3747908" y="4933585"/>
              <a:ext cx="5292839" cy="1074499"/>
            </a:xfrm>
            <a:prstGeom prst="rect">
              <a:avLst/>
            </a:prstGeom>
            <a:ln w="19050" cap="sq">
              <a:solidFill>
                <a:srgbClr val="000000"/>
              </a:solidFill>
              <a:prstDash val="solid"/>
              <a:miter lim="800000"/>
            </a:ln>
            <a:effectLst/>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00000000-0008-0000-0600-000006000000}"/>
                </a:ext>
              </a:extLst>
            </xdr:cNvPr>
            <xdr:cNvPicPr>
              <a:picLocks noChangeArrowheads="1"/>
            </xdr:cNvPicPr>
          </xdr:nvPicPr>
          <xdr:blipFill>
            <a:blip xmlns:r="http://schemas.openxmlformats.org/officeDocument/2006/relationships" r:embed="rId7"/>
            <a:srcRect/>
            <a:stretch>
              <a:fillRect/>
            </a:stretch>
          </xdr:blipFill>
          <xdr:spPr bwMode="auto">
            <a:xfrm>
              <a:off x="4905906" y="6495252"/>
              <a:ext cx="3319463" cy="1035089"/>
            </a:xfrm>
            <a:prstGeom prst="rect">
              <a:avLst/>
            </a:prstGeom>
            <a:ln w="19050" cap="sq">
              <a:solidFill>
                <a:srgbClr val="000000"/>
              </a:solidFill>
              <a:prstDash val="solid"/>
              <a:miter lim="800000"/>
            </a:ln>
            <a:effectLst/>
            <a:extLst>
              <a:ext uri="{909E8E84-426E-40DD-AFC4-6F175D3DCCD1}">
                <a14:hiddenFill xmlns:a14="http://schemas.microsoft.com/office/drawing/2010/main">
                  <a:solidFill>
                    <a:schemeClr val="accent1"/>
                  </a:solidFill>
                </a14:hiddenFill>
              </a:ext>
            </a:extLst>
          </xdr:spPr>
        </xdr:pic>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07823" y="3627157"/>
              <a:ext cx="2566988" cy="1332296"/>
            </a:xfrm>
            <a:prstGeom prst="rect">
              <a:avLst/>
            </a:prstGeom>
            <a:ln w="19050">
              <a:solidFill>
                <a:schemeClr val="tx1"/>
              </a:solidFill>
            </a:ln>
          </xdr:spPr>
        </xdr:pic>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92859" y="6523836"/>
              <a:ext cx="2722107" cy="984081"/>
            </a:xfrm>
            <a:prstGeom prst="rect">
              <a:avLst/>
            </a:prstGeom>
            <a:ln w="19050">
              <a:solidFill>
                <a:schemeClr val="tx1"/>
              </a:solidFill>
            </a:ln>
          </xdr:spPr>
        </xdr:pic>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04" t="-4962" r="-1229" b="-8646"/>
            <a:stretch/>
          </xdr:blipFill>
          <xdr:spPr>
            <a:xfrm>
              <a:off x="4129087" y="3032953"/>
              <a:ext cx="4140193" cy="1387803"/>
            </a:xfrm>
            <a:prstGeom prst="rect">
              <a:avLst/>
            </a:prstGeom>
            <a:ln w="19050">
              <a:solidFill>
                <a:schemeClr val="tx1"/>
              </a:solidFill>
            </a:ln>
          </xdr:spPr>
        </xdr:pic>
      </xdr:grpSp>
      <xdr:grpSp>
        <xdr:nvGrpSpPr>
          <xdr:cNvPr id="18" name="Group 17">
            <a:extLst>
              <a:ext uri="{FF2B5EF4-FFF2-40B4-BE49-F238E27FC236}">
                <a16:creationId xmlns:a16="http://schemas.microsoft.com/office/drawing/2014/main" id="{84F8F6D7-13C0-49D2-AA4A-537125452C72}"/>
              </a:ext>
            </a:extLst>
          </xdr:cNvPr>
          <xdr:cNvGrpSpPr/>
        </xdr:nvGrpSpPr>
        <xdr:grpSpPr>
          <a:xfrm>
            <a:off x="8579304" y="1006928"/>
            <a:ext cx="3061607" cy="816429"/>
            <a:chOff x="7939768" y="2986767"/>
            <a:chExt cx="3061607" cy="816429"/>
          </a:xfrm>
        </xdr:grpSpPr>
        <xdr:sp macro="" textlink="">
          <xdr:nvSpPr>
            <xdr:cNvPr id="16" name="Rectangle 15">
              <a:extLst>
                <a:ext uri="{FF2B5EF4-FFF2-40B4-BE49-F238E27FC236}">
                  <a16:creationId xmlns:a16="http://schemas.microsoft.com/office/drawing/2014/main" id="{E67A8122-2B9C-46D0-AF15-90F5D3637AB6}"/>
                </a:ext>
              </a:extLst>
            </xdr:cNvPr>
            <xdr:cNvSpPr/>
          </xdr:nvSpPr>
          <xdr:spPr>
            <a:xfrm>
              <a:off x="7939768" y="2986767"/>
              <a:ext cx="3061607" cy="81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pic>
          <xdr:nvPicPr>
            <xdr:cNvPr id="13" name="Picture 12">
              <a:extLst>
                <a:ext uri="{FF2B5EF4-FFF2-40B4-BE49-F238E27FC236}">
                  <a16:creationId xmlns:a16="http://schemas.microsoft.com/office/drawing/2014/main" id="{407C8CCB-C276-40DD-92DA-A2DFC09FA78F}"/>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109857" y="3082018"/>
              <a:ext cx="2755555" cy="673016"/>
            </a:xfrm>
            <a:prstGeom prst="rect">
              <a:avLst/>
            </a:prstGeom>
          </xdr:spPr>
        </xdr:pic>
      </xdr:grp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85724</xdr:colOff>
      <xdr:row>1</xdr:row>
      <xdr:rowOff>52388</xdr:rowOff>
    </xdr:from>
    <xdr:to>
      <xdr:col>5</xdr:col>
      <xdr:colOff>447224</xdr:colOff>
      <xdr:row>2</xdr:row>
      <xdr:rowOff>163013</xdr:rowOff>
    </xdr:to>
    <xdr:sp macro="" textlink="">
      <xdr:nvSpPr>
        <xdr:cNvPr id="6" name="Rectangle: Rounded Corners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85724" y="52388"/>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104775</xdr:rowOff>
    </xdr:from>
    <xdr:to>
      <xdr:col>19</xdr:col>
      <xdr:colOff>9525</xdr:colOff>
      <xdr:row>93</xdr:row>
      <xdr:rowOff>60544</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177800" y="104775"/>
          <a:ext cx="11591925" cy="16834069"/>
          <a:chOff x="176213" y="104775"/>
          <a:chExt cx="11668125" cy="16737285"/>
        </a:xfrm>
      </xdr:grpSpPr>
      <xdr:grpSp>
        <xdr:nvGrpSpPr>
          <xdr:cNvPr id="6" name="Group 5">
            <a:extLst>
              <a:ext uri="{FF2B5EF4-FFF2-40B4-BE49-F238E27FC236}">
                <a16:creationId xmlns:a16="http://schemas.microsoft.com/office/drawing/2014/main" id="{00000000-0008-0000-0100-000006000000}"/>
              </a:ext>
            </a:extLst>
          </xdr:cNvPr>
          <xdr:cNvGrpSpPr/>
        </xdr:nvGrpSpPr>
        <xdr:grpSpPr>
          <a:xfrm>
            <a:off x="176213" y="523875"/>
            <a:ext cx="11668125" cy="16318185"/>
            <a:chOff x="176213" y="523875"/>
            <a:chExt cx="11668125" cy="16318185"/>
          </a:xfrm>
        </xdr:grpSpPr>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76213" y="523875"/>
              <a:ext cx="11668125" cy="16051982"/>
            </a:xfrm>
            <a:prstGeom prst="rect">
              <a:avLst/>
            </a:prstGeom>
            <a:solidFill>
              <a:schemeClr val="accent1">
                <a:lumMod val="60000"/>
                <a:lumOff val="4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Click on the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red</a:t>
              </a:r>
              <a:r>
                <a:rPr lang="en-CA" sz="1100">
                  <a:effectLst/>
                  <a:latin typeface="Calibri" panose="020F0502020204030204" pitchFamily="34" charset="0"/>
                  <a:ea typeface="Calibri" panose="020F0502020204030204" pitchFamily="34" charset="0"/>
                  <a:cs typeface="Times New Roman" panose="02020603050405020304" pitchFamily="18" charset="0"/>
                </a:rPr>
                <a:t> box labelled “Click here to </a:t>
              </a:r>
              <a:r>
                <a:rPr lang="en-CA" sz="1100" u="sng">
                  <a:effectLst/>
                  <a:latin typeface="Calibri" panose="020F0502020204030204" pitchFamily="34" charset="0"/>
                  <a:ea typeface="Calibri" panose="020F0502020204030204" pitchFamily="34" charset="0"/>
                  <a:cs typeface="Times New Roman" panose="02020603050405020304" pitchFamily="18" charset="0"/>
                </a:rPr>
                <a:t>START</a:t>
              </a:r>
              <a:r>
                <a:rPr lang="en-CA" sz="1100">
                  <a:effectLst/>
                  <a:latin typeface="Calibri" panose="020F0502020204030204" pitchFamily="34" charset="0"/>
                  <a:ea typeface="Calibri" panose="020F0502020204030204" pitchFamily="34" charset="0"/>
                  <a:cs typeface="Times New Roman" panose="02020603050405020304" pitchFamily="18" charset="0"/>
                </a:rPr>
                <a:t>” at the bottom of this page or click the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red</a:t>
              </a:r>
              <a:r>
                <a:rPr lang="en-CA" sz="1100">
                  <a:effectLst/>
                  <a:latin typeface="Calibri" panose="020F0502020204030204" pitchFamily="34" charset="0"/>
                  <a:ea typeface="Calibri" panose="020F0502020204030204" pitchFamily="34" charset="0"/>
                  <a:cs typeface="Times New Roman" panose="02020603050405020304" pitchFamily="18" charset="0"/>
                </a:rPr>
                <a:t> tab at the bottom of the screen labelled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User input</a:t>
              </a:r>
              <a:r>
                <a:rPr lang="en-CA" sz="1100">
                  <a:effectLst/>
                  <a:latin typeface="Calibri" panose="020F0502020204030204" pitchFamily="34" charset="0"/>
                  <a:ea typeface="Calibri" panose="020F0502020204030204" pitchFamily="34" charset="0"/>
                  <a:cs typeface="Times New Roman" panose="02020603050405020304" pitchFamily="18" charset="0"/>
                </a:rPr>
                <a:t>” to enter the wild blueberry field management tool input page.</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Under the heading “</a:t>
              </a:r>
              <a:r>
                <a:rPr lang="en-CA" sz="1100" b="1"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Field input</a:t>
              </a:r>
              <a:r>
                <a:rPr lang="en-CA" sz="1100">
                  <a:effectLst/>
                  <a:latin typeface="Calibri" panose="020F0502020204030204" pitchFamily="34" charset="0"/>
                  <a:ea typeface="Calibri" panose="020F0502020204030204" pitchFamily="34" charset="0"/>
                  <a:cs typeface="Times New Roman" panose="02020603050405020304" pitchFamily="18" charset="0"/>
                </a:rPr>
                <a:t>” click on the first </a:t>
              </a:r>
              <a:r>
                <a:rPr lang="en-CA" sz="1100">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colored box labelled "Field name” and using your specific field information update the box to the appropriate value and press “enter” on your keyboard or use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t>
              </a:r>
              <a:r>
                <a:rPr lang="en-CA" sz="1100">
                  <a:effectLst/>
                  <a:latin typeface="Calibri" panose="020F0502020204030204" pitchFamily="34" charset="0"/>
                  <a:ea typeface="Calibri" panose="020F0502020204030204" pitchFamily="34" charset="0"/>
                  <a:cs typeface="Times New Roman" panose="02020603050405020304" pitchFamily="18" charset="0"/>
                </a:rPr>
                <a:t>the mouse to click the next box below. </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Continue to fill in each of the </a:t>
              </a:r>
              <a:r>
                <a:rPr lang="en-CA" sz="1100">
                  <a:solidFill>
                    <a:srgbClr val="ED7D31"/>
                  </a:solidFill>
                  <a:effectLst/>
                  <a:latin typeface="+mn-lt"/>
                  <a:ea typeface="Calibri" panose="020F0502020204030204" pitchFamily="34" charset="0"/>
                  <a:cs typeface="Times New Roman" panose="02020603050405020304" pitchFamily="18" charset="0"/>
                </a:rPr>
                <a:t>orange</a:t>
              </a:r>
              <a:r>
                <a:rPr lang="en-CA" sz="1100">
                  <a:effectLst/>
                  <a:latin typeface="+mn-lt"/>
                  <a:ea typeface="Calibri" panose="020F0502020204030204" pitchFamily="34" charset="0"/>
                  <a:cs typeface="Times New Roman" panose="02020603050405020304" pitchFamily="18" charset="0"/>
                </a:rPr>
                <a:t> colored boxes until each contains values that match your specific field and harvest operation. When filling non-numerical information such as “Spraying</a:t>
              </a:r>
              <a:r>
                <a:rPr lang="en-CA" sz="1100" baseline="0">
                  <a:effectLst/>
                  <a:latin typeface="+mn-lt"/>
                  <a:ea typeface="Calibri" panose="020F0502020204030204" pitchFamily="34" charset="0"/>
                  <a:cs typeface="Times New Roman" panose="02020603050405020304" pitchFamily="18" charset="0"/>
                </a:rPr>
                <a:t> cost</a:t>
              </a:r>
              <a:r>
                <a:rPr lang="en-CA" sz="1100">
                  <a:effectLst/>
                  <a:latin typeface="+mn-lt"/>
                  <a:ea typeface="Calibri" panose="020F0502020204030204" pitchFamily="34" charset="0"/>
                  <a:cs typeface="Times New Roman" panose="02020603050405020304" pitchFamily="18" charset="0"/>
                </a:rPr>
                <a:t>”, click on the cell and when the grey arrow pops up just to the right of the cell click and select the appropriate text from the drop-down menu. </a:t>
              </a:r>
              <a:br>
                <a:rPr lang="en-CA" sz="1100">
                  <a:effectLst/>
                  <a:latin typeface="+mn-lt"/>
                  <a:ea typeface="Calibri" panose="020F0502020204030204" pitchFamily="34" charset="0"/>
                  <a:cs typeface="Times New Roman" panose="02020603050405020304" pitchFamily="18" charset="0"/>
                </a:rPr>
              </a:b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*Please note that before</a:t>
              </a:r>
              <a:r>
                <a:rPr lang="en-CA" sz="1100" baseline="0">
                  <a:effectLst/>
                  <a:latin typeface="+mn-lt"/>
                  <a:ea typeface="Calibri" panose="020F0502020204030204" pitchFamily="34" charset="0"/>
                  <a:cs typeface="Times New Roman" panose="02020603050405020304" pitchFamily="18" charset="0"/>
                </a:rPr>
                <a:t> you choose "Harvesting cost at the contractor's price" that you first adjust the cell containing your "Average yield". This is because the list automatically changes the contractors price using a sliding scale based on the pounds per acre of your field. If you first select "Harvester cost = contractor $x.xx" then after change the average field yield your cell totals may switch to "#N/A" in error. If this happends simply re-choose the harvesting cost contractor rate again from the drop-down menu at the newly adjusted rate.</a:t>
              </a:r>
            </a:p>
            <a:p>
              <a:pPr marL="342900" lvl="0" indent="-342900">
                <a:lnSpc>
                  <a:spcPct val="107000"/>
                </a:lnSpc>
                <a:spcAft>
                  <a:spcPts val="0"/>
                </a:spcAft>
                <a:buFont typeface="+mj-lt"/>
                <a:buAutoNum type="arabicParenR"/>
              </a:pPr>
              <a:endParaRPr lang="en-CA" sz="1100" baseline="0">
                <a:effectLst/>
                <a:latin typeface="+mn-lt"/>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mj-lt"/>
                <a:buAutoNum type="arabicParenR"/>
                <a:tabLst/>
                <a:defRPr/>
              </a:pPr>
              <a:r>
                <a:rPr lang="en-CA" sz="1100" baseline="0">
                  <a:effectLst/>
                  <a:latin typeface="+mn-lt"/>
                  <a:ea typeface="Calibri" panose="020F0502020204030204" pitchFamily="34" charset="0"/>
                  <a:cs typeface="Times New Roman" panose="02020603050405020304" pitchFamily="18" charset="0"/>
                </a:rPr>
                <a:t>**</a:t>
              </a:r>
              <a:r>
                <a:rPr lang="en-CA" sz="1100">
                  <a:solidFill>
                    <a:schemeClr val="tx1"/>
                  </a:solidFill>
                  <a:effectLst/>
                  <a:latin typeface="+mn-lt"/>
                  <a:ea typeface="+mn-ea"/>
                  <a:cs typeface="+mn-cs"/>
                </a:rPr>
                <a:t>Please note that before</a:t>
              </a:r>
              <a:r>
                <a:rPr lang="en-CA" sz="1100" baseline="0">
                  <a:solidFill>
                    <a:schemeClr val="tx1"/>
                  </a:solidFill>
                  <a:effectLst/>
                  <a:latin typeface="+mn-lt"/>
                  <a:ea typeface="+mn-ea"/>
                  <a:cs typeface="+mn-cs"/>
                </a:rPr>
                <a:t> you choose "Pruning cost at the contractor's price" that you first adjust the cell containing your "Pruning method". This is because the list automatically changes the contractors price based on the type of pruning method you selected. If you first select "Pruning cost = contractor $x.xx" then after change the pruning method your cell totals may switch to "#N/A" in error. If this happends simply re-choose the pruning cost contractor rate again from the drop-down menu at the newly adjusted rate.</a:t>
              </a: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If you would</a:t>
              </a:r>
              <a:r>
                <a:rPr lang="en-CA" sz="1100" baseline="0">
                  <a:effectLst/>
                  <a:latin typeface="+mn-lt"/>
                  <a:ea typeface="Calibri" panose="020F0502020204030204" pitchFamily="34" charset="0"/>
                  <a:cs typeface="Times New Roman" panose="02020603050405020304" pitchFamily="18" charset="0"/>
                </a:rPr>
                <a:t> like to use the unit converter to help with some of the input cells click on the </a:t>
              </a:r>
              <a:r>
                <a:rPr lang="en-CA" sz="1100" baseline="0">
                  <a:solidFill>
                    <a:srgbClr val="7030A0"/>
                  </a:solidFill>
                  <a:effectLst/>
                  <a:latin typeface="+mn-lt"/>
                  <a:ea typeface="Calibri" panose="020F0502020204030204" pitchFamily="34" charset="0"/>
                  <a:cs typeface="Times New Roman" panose="02020603050405020304" pitchFamily="18" charset="0"/>
                </a:rPr>
                <a:t>purple</a:t>
              </a:r>
              <a:r>
                <a:rPr lang="en-CA" sz="1100" baseline="0">
                  <a:effectLst/>
                  <a:latin typeface="+mn-lt"/>
                  <a:ea typeface="Calibri" panose="020F0502020204030204" pitchFamily="34" charset="0"/>
                  <a:cs typeface="Times New Roman" panose="02020603050405020304" pitchFamily="18" charset="0"/>
                </a:rPr>
                <a:t> link labelled "</a:t>
              </a:r>
              <a:r>
                <a:rPr lang="en-CA" sz="1100" u="sng" baseline="0">
                  <a:effectLst/>
                  <a:latin typeface="+mn-lt"/>
                  <a:ea typeface="Calibri" panose="020F0502020204030204" pitchFamily="34" charset="0"/>
                  <a:cs typeface="Times New Roman" panose="02020603050405020304" pitchFamily="18" charset="0"/>
                </a:rPr>
                <a:t>Unit converter</a:t>
              </a:r>
              <a:r>
                <a:rPr lang="en-CA" sz="1100" baseline="0">
                  <a:effectLst/>
                  <a:latin typeface="+mn-lt"/>
                  <a:ea typeface="Calibri" panose="020F0502020204030204" pitchFamily="34" charset="0"/>
                  <a:cs typeface="Times New Roman" panose="02020603050405020304" pitchFamily="18" charset="0"/>
                </a:rPr>
                <a:t>" at the bottom of the list of fertilizers or click on the </a:t>
              </a:r>
              <a:r>
                <a:rPr lang="en-CA" sz="1100" baseline="0">
                  <a:solidFill>
                    <a:srgbClr val="7030A0"/>
                  </a:solidFill>
                  <a:effectLst/>
                  <a:latin typeface="+mn-lt"/>
                  <a:ea typeface="Calibri" panose="020F0502020204030204" pitchFamily="34" charset="0"/>
                  <a:cs typeface="Times New Roman" panose="02020603050405020304" pitchFamily="18" charset="0"/>
                </a:rPr>
                <a:t>purple</a:t>
              </a:r>
              <a:r>
                <a:rPr lang="en-CA" sz="1100" baseline="0">
                  <a:effectLst/>
                  <a:latin typeface="+mn-lt"/>
                  <a:ea typeface="Calibri" panose="020F0502020204030204" pitchFamily="34" charset="0"/>
                  <a:cs typeface="Times New Roman" panose="02020603050405020304" pitchFamily="18" charset="0"/>
                </a:rPr>
                <a:t> tab at the bottom of the page labelled "Unit converter".</a:t>
              </a: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To select the specific fertilizers that you want to include in your analysis simply click on the </a:t>
              </a:r>
              <a:r>
                <a:rPr lang="en-CA" sz="1100">
                  <a:solidFill>
                    <a:srgbClr val="FFC000"/>
                  </a:solidFill>
                  <a:effectLst/>
                  <a:latin typeface="+mn-lt"/>
                  <a:ea typeface="Calibri" panose="020F0502020204030204" pitchFamily="34" charset="0"/>
                  <a:cs typeface="Times New Roman" panose="02020603050405020304" pitchFamily="18" charset="0"/>
                </a:rPr>
                <a:t>orange</a:t>
              </a:r>
              <a:r>
                <a:rPr lang="en-CA" sz="1100">
                  <a:effectLst/>
                  <a:latin typeface="+mn-lt"/>
                  <a:ea typeface="Calibri" panose="020F0502020204030204" pitchFamily="34" charset="0"/>
                  <a:cs typeface="Times New Roman" panose="02020603050405020304" pitchFamily="18" charset="0"/>
                </a:rPr>
                <a:t> cell</a:t>
              </a:r>
              <a:r>
                <a:rPr lang="en-CA" sz="1100" baseline="0">
                  <a:effectLst/>
                  <a:latin typeface="+mn-lt"/>
                  <a:ea typeface="Calibri" panose="020F0502020204030204" pitchFamily="34" charset="0"/>
                  <a:cs typeface="Times New Roman" panose="02020603050405020304" pitchFamily="18" charset="0"/>
                </a:rPr>
                <a:t> to the left of the </a:t>
              </a:r>
              <a:r>
                <a:rPr lang="en-CA" sz="1100">
                  <a:effectLst/>
                  <a:latin typeface="+mn-lt"/>
                  <a:ea typeface="Calibri" panose="020F0502020204030204" pitchFamily="34" charset="0"/>
                  <a:cs typeface="Times New Roman" panose="02020603050405020304" pitchFamily="18" charset="0"/>
                </a:rPr>
                <a:t>fertilzer type and choose the number of applications</a:t>
              </a:r>
              <a:r>
                <a:rPr lang="en-CA" sz="1100" baseline="0">
                  <a:effectLst/>
                  <a:latin typeface="+mn-lt"/>
                  <a:ea typeface="Calibri" panose="020F0502020204030204" pitchFamily="34" charset="0"/>
                  <a:cs typeface="Times New Roman" panose="02020603050405020304" pitchFamily="18" charset="0"/>
                </a:rPr>
                <a:t> from the drop-down menu</a:t>
              </a:r>
              <a:r>
                <a:rPr lang="en-CA" sz="1100">
                  <a:effectLst/>
                  <a:latin typeface="+mn-lt"/>
                  <a:ea typeface="Calibri" panose="020F0502020204030204" pitchFamily="34" charset="0"/>
                  <a:cs typeface="Times New Roman" panose="02020603050405020304" pitchFamily="18" charset="0"/>
                </a:rPr>
                <a:t>. </a:t>
              </a:r>
              <a:br>
                <a:rPr lang="en-CA" sz="1100">
                  <a:effectLst/>
                  <a:latin typeface="+mn-lt"/>
                  <a:ea typeface="Calibri" panose="020F0502020204030204" pitchFamily="34" charset="0"/>
                  <a:cs typeface="Times New Roman" panose="02020603050405020304" pitchFamily="18" charset="0"/>
                </a:rPr>
              </a:br>
              <a:r>
                <a:rPr lang="en-CA" sz="1100">
                  <a:effectLst/>
                  <a:latin typeface="+mn-lt"/>
                  <a:ea typeface="Calibri" panose="020F0502020204030204" pitchFamily="34" charset="0"/>
                  <a:cs typeface="Times New Roman" panose="02020603050405020304" pitchFamily="18" charset="0"/>
                </a:rPr>
                <a:t>	</a:t>
              </a:r>
              <a:br>
                <a:rPr lang="en-CA" sz="1100">
                  <a:effectLst/>
                  <a:latin typeface="+mn-lt"/>
                  <a:ea typeface="Calibri" panose="020F0502020204030204" pitchFamily="34" charset="0"/>
                  <a:cs typeface="Times New Roman" panose="02020603050405020304" pitchFamily="18" charset="0"/>
                </a:rPr>
              </a:br>
              <a:r>
                <a:rPr lang="en-CA" sz="1100">
                  <a:effectLst/>
                  <a:latin typeface="+mn-lt"/>
                  <a:ea typeface="Calibri" panose="020F0502020204030204" pitchFamily="34" charset="0"/>
                  <a:cs typeface="Times New Roman" panose="02020603050405020304" pitchFamily="18" charset="0"/>
                </a:rPr>
                <a:t>	Note: 	0</a:t>
              </a:r>
              <a:r>
                <a:rPr lang="en-CA" sz="1100" baseline="0">
                  <a:effectLst/>
                  <a:latin typeface="+mn-lt"/>
                  <a:ea typeface="Calibri" panose="020F0502020204030204" pitchFamily="34" charset="0"/>
                  <a:cs typeface="Times New Roman" panose="02020603050405020304" pitchFamily="18" charset="0"/>
                </a:rPr>
                <a:t> </a:t>
              </a:r>
              <a:r>
                <a:rPr lang="en-CA" sz="1100">
                  <a:effectLst/>
                  <a:latin typeface="+mn-lt"/>
                  <a:ea typeface="Calibri" panose="020F0502020204030204" pitchFamily="34" charset="0"/>
                  <a:cs typeface="Times New Roman" panose="02020603050405020304" pitchFamily="18" charset="0"/>
                </a:rPr>
                <a:t> -------------&gt; 	No</a:t>
              </a:r>
              <a:r>
                <a:rPr lang="en-CA" sz="1100" baseline="0">
                  <a:effectLst/>
                  <a:latin typeface="+mn-lt"/>
                  <a:ea typeface="Calibri" panose="020F0502020204030204" pitchFamily="34" charset="0"/>
                  <a:cs typeface="Times New Roman" panose="02020603050405020304" pitchFamily="18" charset="0"/>
                </a:rPr>
                <a:t> application of the agrochemical.</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 tm ---------&gt;	1 application of the agrochemical (mixed in with another agrochemical that isn't already labelled as a tank mix).</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1 --------------&gt;	1 application of the agrochemical.</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2 tm ----------&gt;	2 applications of the agrochemical (both mixed in with another agrochemical that isn't already labelled as a tank mix).</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1+1 tm -------&gt;	2 applications of the agrochemical (1 of the applications is tank mixed with another agrochemical that isn't already labelled as a tank mix).</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2 ---------------&gt;	2 applications of the agrochemical.</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a:t>
              </a:r>
              <a:br>
                <a:rPr lang="en-CA" sz="110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For example: If I was spraying Iron (foliar fertilizer) at the same time I was spraying Bravo ZN (fungicide) then I would make sure that they were labelled as:</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 tm - Iron (foliar)       &amp;       1 - Bravo ZN </a:t>
              </a:r>
              <a:br>
                <a:rPr lang="en-CA" sz="1100" baseline="0">
                  <a:effectLst/>
                  <a:latin typeface="+mn-lt"/>
                  <a:ea typeface="Calibri" panose="020F0502020204030204" pitchFamily="34" charset="0"/>
                  <a:cs typeface="Times New Roman" panose="02020603050405020304" pitchFamily="18" charset="0"/>
                </a:rPr>
              </a:b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This is so that the cost of application isn't doubled when you are applying both the Iron (foliar) at the same time as Bravo (ZN). This allows you to choose the agrochemical that is being charged for the application cost and any additional agrochemicals that are added to the same tank just includes the agrochemical cost (not an additional application cost of spraying).</a:t>
              </a:r>
              <a:br>
                <a:rPr lang="en-CA" sz="1100">
                  <a:effectLst/>
                  <a:latin typeface="+mn-lt"/>
                  <a:ea typeface="Calibri" panose="020F0502020204030204" pitchFamily="34" charset="0"/>
                  <a:cs typeface="Times New Roman" panose="02020603050405020304" pitchFamily="18" charset="0"/>
                </a:rPr>
              </a:br>
              <a:br>
                <a:rPr lang="en-CA" sz="1100">
                  <a:effectLst/>
                  <a:latin typeface="+mn-lt"/>
                  <a:ea typeface="Calibri" panose="020F0502020204030204" pitchFamily="34" charset="0"/>
                  <a:cs typeface="Times New Roman" panose="02020603050405020304" pitchFamily="18" charset="0"/>
                </a:rPr>
              </a:br>
              <a:r>
                <a:rPr lang="en-CA" sz="1100">
                  <a:effectLst/>
                  <a:latin typeface="Calibri" panose="020F0502020204030204" pitchFamily="34" charset="0"/>
                  <a:ea typeface="Calibri" panose="020F0502020204030204" pitchFamily="34" charset="0"/>
                  <a:cs typeface="Times New Roman" panose="02020603050405020304" pitchFamily="18" charset="0"/>
                </a:rPr>
                <a:t>If you would like to remove the fertilzer from the analysis click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cell to the left of the fertilizer and select</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"0" from the drop down menu.</a:t>
              </a:r>
              <a:br>
                <a:rPr lang="en-CA" sz="1100">
                  <a:effectLst/>
                  <a:latin typeface="Calibri" panose="020F0502020204030204" pitchFamily="34" charset="0"/>
                  <a:ea typeface="Calibri" panose="020F0502020204030204" pitchFamily="34" charset="0"/>
                  <a:cs typeface="Times New Roman" panose="02020603050405020304" pitchFamily="18" charset="0"/>
                </a:rPr>
              </a:b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Similarly, continue to add the specific herbicides,</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t>
              </a:r>
              <a:r>
                <a:rPr lang="en-CA" sz="1100">
                  <a:effectLst/>
                  <a:latin typeface="Calibri" panose="020F0502020204030204" pitchFamily="34" charset="0"/>
                  <a:ea typeface="Calibri" panose="020F0502020204030204" pitchFamily="34" charset="0"/>
                  <a:cs typeface="Times New Roman" panose="02020603050405020304" pitchFamily="18" charset="0"/>
                </a:rPr>
                <a:t>fungicides</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and</a:t>
              </a:r>
              <a:r>
                <a:rPr lang="en-CA" sz="1100">
                  <a:effectLst/>
                  <a:latin typeface="Calibri" panose="020F0502020204030204" pitchFamily="34" charset="0"/>
                  <a:ea typeface="Calibri" panose="020F0502020204030204" pitchFamily="34" charset="0"/>
                  <a:cs typeface="Times New Roman" panose="02020603050405020304" pitchFamily="18" charset="0"/>
                </a:rPr>
                <a:t> insecticides that you would like to apply to your field. Please make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sure</a:t>
              </a:r>
              <a:r>
                <a:rPr lang="en-CA" sz="1100">
                  <a:effectLst/>
                  <a:latin typeface="Calibri" panose="020F0502020204030204" pitchFamily="34" charset="0"/>
                  <a:ea typeface="Calibri" panose="020F0502020204030204" pitchFamily="34" charset="0"/>
                  <a:cs typeface="Times New Roman" panose="02020603050405020304" pitchFamily="18" charset="0"/>
                </a:rPr>
                <a:t> that you choose the correct application</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type (0, 1 tm, 1, 2 tm, 1+1tm, 2).</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If you would like to see a detailed breakdown of the specific agrochemical input costs, click on the </a:t>
              </a:r>
              <a:r>
                <a:rPr lang="en-CA" sz="1100">
                  <a:solidFill>
                    <a:srgbClr val="A6A6A6"/>
                  </a:solidFill>
                  <a:effectLst/>
                  <a:latin typeface="Calibri" panose="020F0502020204030204" pitchFamily="34" charset="0"/>
                  <a:ea typeface="Calibri" panose="020F0502020204030204" pitchFamily="34" charset="0"/>
                  <a:cs typeface="Times New Roman" panose="02020603050405020304" pitchFamily="18" charset="0"/>
                </a:rPr>
                <a:t>grey</a:t>
              </a:r>
              <a:r>
                <a:rPr lang="en-CA" sz="1100">
                  <a:effectLst/>
                  <a:latin typeface="Calibri" panose="020F0502020204030204" pitchFamily="34" charset="0"/>
                  <a:ea typeface="Calibri" panose="020F0502020204030204" pitchFamily="34" charset="0"/>
                  <a:cs typeface="Times New Roman" panose="02020603050405020304" pitchFamily="18" charset="0"/>
                </a:rPr>
                <a:t> box labelled “Click here to see detailed </a:t>
              </a:r>
              <a:r>
                <a:rPr lang="en-CA" sz="1100" u="sng">
                  <a:effectLst/>
                  <a:latin typeface="Calibri" panose="020F0502020204030204" pitchFamily="34" charset="0"/>
                  <a:ea typeface="Calibri" panose="020F0502020204030204" pitchFamily="34" charset="0"/>
                  <a:cs typeface="Times New Roman" panose="02020603050405020304" pitchFamily="18" charset="0"/>
                </a:rPr>
                <a:t>agrochemical costs</a:t>
              </a:r>
              <a:r>
                <a:rPr lang="en-CA" sz="1100">
                  <a:effectLst/>
                  <a:latin typeface="Calibri" panose="020F0502020204030204" pitchFamily="34" charset="0"/>
                  <a:ea typeface="Calibri" panose="020F0502020204030204" pitchFamily="34" charset="0"/>
                  <a:cs typeface="Times New Roman" panose="02020603050405020304" pitchFamily="18" charset="0"/>
                </a:rPr>
                <a:t>” or click the tab at the bottom of the spreadsheet labelled “Price list”.</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Included at the botttom of this section is a the list of additional details about tank mixes. Both the agrochemical price and application rate can be changed at any time by the user. </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add an additional agrochemical that isn't already included with the inputs you can click on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cells labelled "other" in the "Price list" to input the name. In the cell to the right of the agrochemical name input the cost of the agrochemical. Next to this cell input the specific units. Next to this cell input the rate that the agrochemical is applied "___/acre". You can now go back to the "User input" main page and choose the number of applications of your newly added agrochemical from the drop-down list.</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change the "Spraying cost" select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 in the price list labelled "Contractor --&gt; $ " and type your new value. Similarily, you can do the same for the contractors fertilizer spreading cost. </a:t>
              </a:r>
              <a:r>
                <a:rPr lang="en-CA" sz="1100" baseline="0">
                  <a:solidFill>
                    <a:schemeClr val="tx1"/>
                  </a:solidFill>
                  <a:effectLst/>
                  <a:latin typeface="+mn-lt"/>
                  <a:ea typeface="+mn-ea"/>
                  <a:cs typeface="+mn-cs"/>
                </a:rPr>
                <a:t>Make sure to go back to the "User input" page and re-select the new pricing.</a:t>
              </a:r>
              <a:br>
                <a:rPr lang="en-CA" sz="1100" baseline="0">
                  <a:solidFill>
                    <a:schemeClr val="tx1"/>
                  </a:solidFill>
                  <a:effectLst/>
                  <a:latin typeface="Calibri" panose="020F0502020204030204" pitchFamily="34" charset="0"/>
                  <a:ea typeface="+mn-ea"/>
                  <a:cs typeface="Times New Roman" panose="02020603050405020304" pitchFamily="18" charset="0"/>
                </a:rPr>
              </a:br>
              <a:br>
                <a:rPr lang="en-CA" sz="1100" baseline="0">
                  <a:solidFill>
                    <a:schemeClr val="tx1"/>
                  </a:solidFill>
                  <a:effectLst/>
                  <a:latin typeface="Calibri" panose="020F0502020204030204" pitchFamily="34" charset="0"/>
                  <a:ea typeface="+mn-ea"/>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change the pollination price per hive select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 labelled "1hive/acre --&gt;$ " and type your new value. Make sure to go back to the "User input" page and re-select the new pricing.</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change the harvesting contractor sliding scale pricing click on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cells under "Harvesting costs" in the pricing sheet and change to your new values. </a:t>
              </a:r>
              <a:r>
                <a:rPr lang="en-CA" sz="1100" baseline="0">
                  <a:solidFill>
                    <a:schemeClr val="tx1"/>
                  </a:solidFill>
                  <a:effectLst/>
                  <a:latin typeface="+mn-lt"/>
                  <a:ea typeface="+mn-ea"/>
                  <a:cs typeface="+mn-cs"/>
                </a:rPr>
                <a:t>Make sure to go back to the "User input" page and re-select the new pricing.</a:t>
              </a:r>
              <a:br>
                <a:rPr lang="en-CA" sz="1100" baseline="0">
                  <a:solidFill>
                    <a:schemeClr val="tx1"/>
                  </a:solidFill>
                  <a:effectLst/>
                  <a:latin typeface="+mn-lt"/>
                  <a:ea typeface="+mn-ea"/>
                  <a:cs typeface="+mn-cs"/>
                </a:rPr>
              </a:br>
              <a:br>
                <a:rPr lang="en-CA" sz="1100" baseline="0">
                  <a:solidFill>
                    <a:schemeClr val="tx1"/>
                  </a:solidFill>
                  <a:effectLst/>
                  <a:latin typeface="+mn-lt"/>
                  <a:ea typeface="+mn-ea"/>
                  <a:cs typeface="+mn-cs"/>
                </a:rPr>
              </a:br>
              <a:r>
                <a:rPr lang="en-CA" sz="1100" baseline="0">
                  <a:solidFill>
                    <a:schemeClr val="tx1"/>
                  </a:solidFill>
                  <a:effectLst/>
                  <a:latin typeface="+mn-lt"/>
                  <a:ea typeface="+mn-ea"/>
                  <a:cs typeface="+mn-cs"/>
                </a:rPr>
                <a:t>If you would like to change the pruning cost select the </a:t>
              </a:r>
              <a:r>
                <a:rPr lang="en-CA" sz="1100" baseline="0">
                  <a:solidFill>
                    <a:srgbClr val="FFC000"/>
                  </a:solidFill>
                  <a:effectLst/>
                  <a:latin typeface="+mn-lt"/>
                  <a:ea typeface="+mn-ea"/>
                  <a:cs typeface="+mn-cs"/>
                </a:rPr>
                <a:t>orange</a:t>
              </a:r>
              <a:r>
                <a:rPr lang="en-CA" sz="1100" baseline="0">
                  <a:solidFill>
                    <a:schemeClr val="tx1"/>
                  </a:solidFill>
                  <a:effectLst/>
                  <a:latin typeface="+mn-lt"/>
                  <a:ea typeface="+mn-ea"/>
                  <a:cs typeface="+mn-cs"/>
                </a:rPr>
                <a:t> cells under "Pruning costs" in the pricing sheet and change to your new values. Make sure to go back to the "User input" page and re-select the new pricing.</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The spreadsheet automatically tabulates values under two column headings “Field Costs” &amp; “Field Output”.</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Aft>
                  <a:spcPts val="0"/>
                </a:spcAft>
                <a:buFont typeface="+mj-lt"/>
                <a:buAutoNum type="romanUcPeriod"/>
              </a:pPr>
              <a:r>
                <a:rPr lang="en-CA" sz="1100" b="1"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Field Costs</a:t>
              </a:r>
              <a:r>
                <a:rPr lang="en-CA" sz="1100">
                  <a:effectLst/>
                  <a:latin typeface="Calibri" panose="020F0502020204030204" pitchFamily="34" charset="0"/>
                  <a:ea typeface="Calibri" panose="020F0502020204030204" pitchFamily="34" charset="0"/>
                  <a:cs typeface="Times New Roman" panose="02020603050405020304" pitchFamily="18" charset="0"/>
                </a:rPr>
                <a:t> displays the estimated cost of crop insurance, field scouting, agrochemical inputs, pollination, harvesting expenses,</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t>
              </a:r>
              <a:r>
                <a:rPr lang="en-CA" sz="1100">
                  <a:effectLst/>
                  <a:latin typeface="Calibri" panose="020F0502020204030204" pitchFamily="34" charset="0"/>
                  <a:ea typeface="Calibri" panose="020F0502020204030204" pitchFamily="34" charset="0"/>
                  <a:cs typeface="Times New Roman" panose="02020603050405020304" pitchFamily="18" charset="0"/>
                </a:rPr>
                <a:t>pruning etc. The costs are based on current over the counter pricing and average contractor and farm labor rates. If you would like to see a more detailed breakdown of input costs you can click on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box labelled “Click here to see detailed field input costs” at the bottom of the field costs column or click on the “Price list” tab at the bottom of the spreadsheet.</a:t>
              </a:r>
            </a:p>
            <a:p>
              <a:pPr marL="742950" lvl="1" indent="-285750">
                <a:lnSpc>
                  <a:spcPct val="107000"/>
                </a:lnSpc>
                <a:spcAft>
                  <a:spcPts val="0"/>
                </a:spcAft>
                <a:buFont typeface="+mj-lt"/>
                <a:buAutoNum type="romanUcPeriod"/>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Aft>
                  <a:spcPts val="0"/>
                </a:spcAft>
                <a:buFont typeface="+mj-lt"/>
                <a:buAutoNum type="romanUcPeriod"/>
              </a:pPr>
              <a:r>
                <a:rPr lang="en-CA" sz="1100" b="1"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Field Output</a:t>
              </a:r>
              <a:r>
                <a:rPr lang="en-CA" sz="1100">
                  <a:effectLst/>
                  <a:latin typeface="Calibri" panose="020F0502020204030204" pitchFamily="34" charset="0"/>
                  <a:ea typeface="Calibri" panose="020F0502020204030204" pitchFamily="34" charset="0"/>
                  <a:cs typeface="Times New Roman" panose="02020603050405020304" pitchFamily="18" charset="0"/>
                </a:rPr>
                <a:t> displays data such as the actual blueberry price, bare ground, average vine yield and wasted agrochemical. The expected money that potentially can be generated based on the field input data is listed as “Yield revenue” and is totalled on a per acre bases as well as a total field basis. If you have any additional income that you would like to include in the analysis click on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cell labelled “Additional income” and type the value, you would like to add other than the value of the harvested blueberry crop. Similarly, type the value of any additional expense you would like to include in the analysis in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cell labelled “Additional expenses”. The “Revenue after expenses” is listed at the bottom and if in surplus, the cells will be highlighted </a:t>
              </a:r>
              <a:r>
                <a:rPr lang="en-CA" sz="1100">
                  <a:solidFill>
                    <a:srgbClr val="00B050"/>
                  </a:solidFill>
                  <a:effectLst/>
                  <a:latin typeface="Calibri" panose="020F0502020204030204" pitchFamily="34" charset="0"/>
                  <a:ea typeface="Calibri" panose="020F0502020204030204" pitchFamily="34" charset="0"/>
                  <a:cs typeface="Times New Roman" panose="02020603050405020304" pitchFamily="18" charset="0"/>
                </a:rPr>
                <a:t>green</a:t>
              </a:r>
              <a:r>
                <a:rPr lang="en-CA" sz="1100">
                  <a:effectLst/>
                  <a:latin typeface="Calibri" panose="020F0502020204030204" pitchFamily="34" charset="0"/>
                  <a:ea typeface="Calibri" panose="020F0502020204030204" pitchFamily="34" charset="0"/>
                  <a:cs typeface="Times New Roman" panose="02020603050405020304" pitchFamily="18" charset="0"/>
                </a:rPr>
                <a:t> and if there is a deficit then highlighted in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red</a:t>
              </a:r>
              <a:r>
                <a:rPr lang="en-CA" sz="1100">
                  <a:effectLst/>
                  <a:latin typeface="Calibri" panose="020F0502020204030204" pitchFamily="34" charset="0"/>
                  <a:ea typeface="Calibri" panose="020F0502020204030204" pitchFamily="34" charset="0"/>
                  <a:cs typeface="Times New Roman" panose="02020603050405020304" pitchFamily="18" charset="0"/>
                </a:rPr>
                <a:t>. The idea is to choose inputs to insure not going in deficit. </a:t>
              </a:r>
            </a:p>
            <a:p>
              <a:pPr marL="742950" lvl="1" indent="-285750">
                <a:lnSpc>
                  <a:spcPct val="107000"/>
                </a:lnSpc>
                <a:spcAft>
                  <a:spcPts val="0"/>
                </a:spcAft>
                <a:buFont typeface="+mj-lt"/>
                <a:buAutoNum type="romanUcPeriod"/>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If you would like to see additional graphs showing breakeven results based on different yields and vine coverage, click on the </a:t>
              </a:r>
              <a:r>
                <a:rPr lang="en-CA" sz="1100">
                  <a:solidFill>
                    <a:srgbClr val="00B050"/>
                  </a:solidFill>
                  <a:effectLst/>
                  <a:latin typeface="Calibri" panose="020F0502020204030204" pitchFamily="34" charset="0"/>
                  <a:ea typeface="Calibri" panose="020F0502020204030204" pitchFamily="34" charset="0"/>
                  <a:cs typeface="Times New Roman" panose="02020603050405020304" pitchFamily="18" charset="0"/>
                </a:rPr>
                <a:t>green </a:t>
              </a:r>
              <a:r>
                <a:rPr lang="en-CA" sz="1100">
                  <a:effectLst/>
                  <a:latin typeface="Calibri" panose="020F0502020204030204" pitchFamily="34" charset="0"/>
                  <a:ea typeface="Calibri" panose="020F0502020204030204" pitchFamily="34" charset="0"/>
                  <a:cs typeface="Times New Roman" panose="02020603050405020304" pitchFamily="18" charset="0"/>
                </a:rPr>
                <a:t>box in the bottom right corner labelled “Click here to see breakeven charts”. </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To view the organizations and companies who helped with various aspects of this worksheet you can click on the “Dalhousie University Faculty of Agriculture” logo in the top right hand corner of the main page or click on the “Acknowledgments” tab on the bottom of the spreadsheet.</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If you have any questions or recommendations in</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regards to the wild blueberry management tool you can click on the "Contact us" button at the bottom of the user input page or click on the blue tab at the bottom of the spreadsheet.</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After you have finished using the wild blueberry management tool you can save the worksheet and close the application.</a:t>
              </a:r>
            </a:p>
            <a:p>
              <a:endParaRPr lang="en-CA" sz="1100"/>
            </a:p>
          </xdr:txBody>
        </xdr:sp>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4586288" y="16249393"/>
              <a:ext cx="3110400" cy="592667"/>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200">
                  <a:solidFill>
                    <a:srgbClr val="FFFF00"/>
                  </a:solidFill>
                </a:rPr>
                <a:t>Click here </a:t>
              </a:r>
              <a:r>
                <a:rPr lang="en-CA" sz="1200">
                  <a:solidFill>
                    <a:schemeClr val="lt1"/>
                  </a:solidFill>
                </a:rPr>
                <a:t>to </a:t>
              </a:r>
              <a:r>
                <a:rPr lang="en-CA" sz="1200" u="sng">
                  <a:solidFill>
                    <a:schemeClr val="lt1"/>
                  </a:solidFill>
                </a:rPr>
                <a:t>START</a:t>
              </a:r>
              <a:endParaRPr lang="en-CA" sz="1200" u="sng"/>
            </a:p>
          </xdr:txBody>
        </xdr:sp>
      </xdr:grpSp>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6213" y="104775"/>
            <a:ext cx="11667600" cy="400049"/>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2000" b="1"/>
              <a:t>Instructions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100012</xdr:colOff>
      <xdr:row>1</xdr:row>
      <xdr:rowOff>533399</xdr:rowOff>
    </xdr:from>
    <xdr:to>
      <xdr:col>3</xdr:col>
      <xdr:colOff>748904</xdr:colOff>
      <xdr:row>5</xdr:row>
      <xdr:rowOff>210739</xdr:rowOff>
    </xdr:to>
    <xdr:sp macro="" textlink="">
      <xdr:nvSpPr>
        <xdr:cNvPr id="4" name="Bent-Up Arrow 6">
          <a:extLst>
            <a:ext uri="{FF2B5EF4-FFF2-40B4-BE49-F238E27FC236}">
              <a16:creationId xmlns:a16="http://schemas.microsoft.com/office/drawing/2014/main" id="{00000000-0008-0000-0200-000004000000}"/>
            </a:ext>
          </a:extLst>
        </xdr:cNvPr>
        <xdr:cNvSpPr/>
      </xdr:nvSpPr>
      <xdr:spPr>
        <a:xfrm flipV="1">
          <a:off x="2105025" y="719137"/>
          <a:ext cx="648892" cy="596502"/>
        </a:xfrm>
        <a:prstGeom prst="bentUp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2</xdr:col>
      <xdr:colOff>4761</xdr:colOff>
      <xdr:row>1</xdr:row>
      <xdr:rowOff>95250</xdr:rowOff>
    </xdr:from>
    <xdr:ext cx="1875234" cy="7320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90511" y="243417"/>
          <a:ext cx="1875234" cy="732048"/>
        </a:xfrm>
        <a:prstGeom prst="rect">
          <a:avLst/>
        </a:prstGeom>
        <a:solidFill>
          <a:srgbClr val="FF0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CA" sz="1200">
              <a:solidFill>
                <a:schemeClr val="bg1"/>
              </a:solidFill>
            </a:rPr>
            <a:t>***</a:t>
          </a:r>
          <a:r>
            <a:rPr lang="en-CA" sz="1200">
              <a:solidFill>
                <a:srgbClr val="FFFF00"/>
              </a:solidFill>
            </a:rPr>
            <a:t>Start</a:t>
          </a:r>
          <a:r>
            <a:rPr lang="en-CA" sz="1200" baseline="0">
              <a:solidFill>
                <a:srgbClr val="FFFF00"/>
              </a:solidFill>
            </a:rPr>
            <a:t> here </a:t>
          </a:r>
          <a:r>
            <a:rPr lang="en-CA" sz="1200" baseline="0">
              <a:solidFill>
                <a:schemeClr val="bg1"/>
              </a:solidFill>
            </a:rPr>
            <a:t>and f</a:t>
          </a:r>
          <a:r>
            <a:rPr lang="en-CA" sz="1200">
              <a:solidFill>
                <a:schemeClr val="bg1"/>
              </a:solidFill>
            </a:rPr>
            <a:t>ill</a:t>
          </a:r>
          <a:r>
            <a:rPr lang="en-CA" sz="1200" baseline="0">
              <a:solidFill>
                <a:schemeClr val="bg1"/>
              </a:solidFill>
            </a:rPr>
            <a:t> in the appropriate field information in this column</a:t>
          </a:r>
          <a:endParaRPr lang="en-CA" sz="1200">
            <a:solidFill>
              <a:schemeClr val="bg1"/>
            </a:solidFill>
          </a:endParaRPr>
        </a:p>
      </xdr:txBody>
    </xdr:sp>
    <xdr:clientData/>
  </xdr:oneCellAnchor>
  <xdr:twoCellAnchor>
    <xdr:from>
      <xdr:col>10</xdr:col>
      <xdr:colOff>404808</xdr:colOff>
      <xdr:row>3</xdr:row>
      <xdr:rowOff>297654</xdr:rowOff>
    </xdr:from>
    <xdr:to>
      <xdr:col>10</xdr:col>
      <xdr:colOff>681033</xdr:colOff>
      <xdr:row>5</xdr:row>
      <xdr:rowOff>204784</xdr:rowOff>
    </xdr:to>
    <xdr:sp macro="" textlink="">
      <xdr:nvSpPr>
        <xdr:cNvPr id="12" name="Arrow: Down 11">
          <a:extLst>
            <a:ext uri="{FF2B5EF4-FFF2-40B4-BE49-F238E27FC236}">
              <a16:creationId xmlns:a16="http://schemas.microsoft.com/office/drawing/2014/main" id="{00000000-0008-0000-0200-00000C000000}"/>
            </a:ext>
          </a:extLst>
        </xdr:cNvPr>
        <xdr:cNvSpPr/>
      </xdr:nvSpPr>
      <xdr:spPr>
        <a:xfrm>
          <a:off x="7024683" y="964404"/>
          <a:ext cx="276225" cy="30599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383375</xdr:colOff>
      <xdr:row>3</xdr:row>
      <xdr:rowOff>296460</xdr:rowOff>
    </xdr:from>
    <xdr:to>
      <xdr:col>13</xdr:col>
      <xdr:colOff>659600</xdr:colOff>
      <xdr:row>5</xdr:row>
      <xdr:rowOff>204792</xdr:rowOff>
    </xdr:to>
    <xdr:sp macro="" textlink="">
      <xdr:nvSpPr>
        <xdr:cNvPr id="77" name="Arrow: Down 76">
          <a:extLst>
            <a:ext uri="{FF2B5EF4-FFF2-40B4-BE49-F238E27FC236}">
              <a16:creationId xmlns:a16="http://schemas.microsoft.com/office/drawing/2014/main" id="{00000000-0008-0000-0200-00004D000000}"/>
            </a:ext>
          </a:extLst>
        </xdr:cNvPr>
        <xdr:cNvSpPr/>
      </xdr:nvSpPr>
      <xdr:spPr>
        <a:xfrm>
          <a:off x="9140423" y="963210"/>
          <a:ext cx="276225" cy="307192"/>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16</xdr:col>
      <xdr:colOff>355993</xdr:colOff>
      <xdr:row>4</xdr:row>
      <xdr:rowOff>4</xdr:rowOff>
    </xdr:from>
    <xdr:to>
      <xdr:col>16</xdr:col>
      <xdr:colOff>632218</xdr:colOff>
      <xdr:row>5</xdr:row>
      <xdr:rowOff>205992</xdr:rowOff>
    </xdr:to>
    <xdr:sp macro="" textlink="">
      <xdr:nvSpPr>
        <xdr:cNvPr id="79" name="Arrow: Down 78">
          <a:extLst>
            <a:ext uri="{FF2B5EF4-FFF2-40B4-BE49-F238E27FC236}">
              <a16:creationId xmlns:a16="http://schemas.microsoft.com/office/drawing/2014/main" id="{00000000-0008-0000-0200-00004F000000}"/>
            </a:ext>
          </a:extLst>
        </xdr:cNvPr>
        <xdr:cNvSpPr/>
      </xdr:nvSpPr>
      <xdr:spPr>
        <a:xfrm>
          <a:off x="11244259" y="964410"/>
          <a:ext cx="276225" cy="307192"/>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380996</xdr:colOff>
      <xdr:row>4</xdr:row>
      <xdr:rowOff>8</xdr:rowOff>
    </xdr:from>
    <xdr:to>
      <xdr:col>7</xdr:col>
      <xdr:colOff>657221</xdr:colOff>
      <xdr:row>5</xdr:row>
      <xdr:rowOff>205996</xdr:rowOff>
    </xdr:to>
    <xdr:sp macro="" textlink="">
      <xdr:nvSpPr>
        <xdr:cNvPr id="81" name="Arrow: Down 80">
          <a:extLst>
            <a:ext uri="{FF2B5EF4-FFF2-40B4-BE49-F238E27FC236}">
              <a16:creationId xmlns:a16="http://schemas.microsoft.com/office/drawing/2014/main" id="{00000000-0008-0000-0200-000051000000}"/>
            </a:ext>
          </a:extLst>
        </xdr:cNvPr>
        <xdr:cNvSpPr/>
      </xdr:nvSpPr>
      <xdr:spPr>
        <a:xfrm>
          <a:off x="4863700" y="964414"/>
          <a:ext cx="276225" cy="307192"/>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21</xdr:col>
      <xdr:colOff>230942</xdr:colOff>
      <xdr:row>1</xdr:row>
      <xdr:rowOff>72112</xdr:rowOff>
    </xdr:from>
    <xdr:to>
      <xdr:col>22</xdr:col>
      <xdr:colOff>877871</xdr:colOff>
      <xdr:row>4</xdr:row>
      <xdr:rowOff>36487</xdr:rowOff>
    </xdr:to>
    <xdr:pic>
      <xdr:nvPicPr>
        <xdr:cNvPr id="13" name="Picture 12">
          <a:hlinkClick xmlns:r="http://schemas.openxmlformats.org/officeDocument/2006/relationships" r:id="rId1"/>
          <a:extLst>
            <a:ext uri="{FF2B5EF4-FFF2-40B4-BE49-F238E27FC236}">
              <a16:creationId xmlns:a16="http://schemas.microsoft.com/office/drawing/2014/main" id="{00000000-0008-0000-0200-00000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21" t="8183" r="4606" b="9250"/>
        <a:stretch/>
      </xdr:blipFill>
      <xdr:spPr>
        <a:xfrm>
          <a:off x="12270542" y="219750"/>
          <a:ext cx="2308512" cy="774000"/>
        </a:xfrm>
        <a:prstGeom prst="rect">
          <a:avLst/>
        </a:prstGeom>
        <a:ln>
          <a:solidFill>
            <a:schemeClr val="tx1"/>
          </a:solidFill>
        </a:ln>
      </xdr:spPr>
    </xdr:pic>
    <xdr:clientData/>
  </xdr:twoCellAnchor>
  <xdr:twoCellAnchor editAs="oneCell">
    <xdr:from>
      <xdr:col>22</xdr:col>
      <xdr:colOff>960832</xdr:colOff>
      <xdr:row>1</xdr:row>
      <xdr:rowOff>74136</xdr:rowOff>
    </xdr:from>
    <xdr:to>
      <xdr:col>23</xdr:col>
      <xdr:colOff>619330</xdr:colOff>
      <xdr:row>4</xdr:row>
      <xdr:rowOff>38511</xdr:rowOff>
    </xdr:to>
    <xdr:pic>
      <xdr:nvPicPr>
        <xdr:cNvPr id="99" name="Picture 98">
          <a:hlinkClick xmlns:r="http://schemas.openxmlformats.org/officeDocument/2006/relationships" r:id="rId1"/>
          <a:extLst>
            <a:ext uri="{FF2B5EF4-FFF2-40B4-BE49-F238E27FC236}">
              <a16:creationId xmlns:a16="http://schemas.microsoft.com/office/drawing/2014/main" id="{00000000-0008-0000-0200-00006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57782" y="221774"/>
          <a:ext cx="814728" cy="774000"/>
        </a:xfrm>
        <a:prstGeom prst="rect">
          <a:avLst/>
        </a:prstGeom>
        <a:ln w="9525">
          <a:solidFill>
            <a:schemeClr val="tx1"/>
          </a:solidFill>
        </a:ln>
        <a:effectLst/>
      </xdr:spPr>
    </xdr:pic>
    <xdr:clientData/>
  </xdr:twoCellAnchor>
  <xdr:twoCellAnchor>
    <xdr:from>
      <xdr:col>21</xdr:col>
      <xdr:colOff>6206</xdr:colOff>
      <xdr:row>31</xdr:row>
      <xdr:rowOff>84225</xdr:rowOff>
    </xdr:from>
    <xdr:to>
      <xdr:col>24</xdr:col>
      <xdr:colOff>31450</xdr:colOff>
      <xdr:row>35</xdr:row>
      <xdr:rowOff>78225</xdr:rowOff>
    </xdr:to>
    <xdr:sp macro="" textlink="">
      <xdr:nvSpPr>
        <xdr:cNvPr id="102" name="Rectangle: Rounded Corners 101">
          <a:hlinkClick xmlns:r="http://schemas.openxmlformats.org/officeDocument/2006/relationships" r:id="rId4"/>
          <a:extLst>
            <a:ext uri="{FF2B5EF4-FFF2-40B4-BE49-F238E27FC236}">
              <a16:creationId xmlns:a16="http://schemas.microsoft.com/office/drawing/2014/main" id="{00000000-0008-0000-0200-000066000000}"/>
            </a:ext>
          </a:extLst>
        </xdr:cNvPr>
        <xdr:cNvSpPr/>
      </xdr:nvSpPr>
      <xdr:spPr>
        <a:xfrm>
          <a:off x="14872010" y="6159815"/>
          <a:ext cx="3467851" cy="7560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break even charts</a:t>
          </a:r>
        </a:p>
      </xdr:txBody>
    </xdr:sp>
    <xdr:clientData/>
  </xdr:twoCellAnchor>
  <xdr:twoCellAnchor>
    <xdr:from>
      <xdr:col>12</xdr:col>
      <xdr:colOff>130967</xdr:colOff>
      <xdr:row>38</xdr:row>
      <xdr:rowOff>22430</xdr:rowOff>
    </xdr:from>
    <xdr:to>
      <xdr:col>13</xdr:col>
      <xdr:colOff>1481402</xdr:colOff>
      <xdr:row>39</xdr:row>
      <xdr:rowOff>136921</xdr:rowOff>
    </xdr:to>
    <xdr:sp macro="" textlink="">
      <xdr:nvSpPr>
        <xdr:cNvPr id="104" name="Rectangle: Rounded Corners 103">
          <a:hlinkClick xmlns:r="http://schemas.openxmlformats.org/officeDocument/2006/relationships" r:id="rId5"/>
          <a:extLst>
            <a:ext uri="{FF2B5EF4-FFF2-40B4-BE49-F238E27FC236}">
              <a16:creationId xmlns:a16="http://schemas.microsoft.com/office/drawing/2014/main" id="{00000000-0008-0000-0200-000068000000}"/>
            </a:ext>
          </a:extLst>
        </xdr:cNvPr>
        <xdr:cNvSpPr/>
      </xdr:nvSpPr>
      <xdr:spPr>
        <a:xfrm>
          <a:off x="8376046" y="7523368"/>
          <a:ext cx="1862404" cy="293084"/>
        </a:xfrm>
        <a:prstGeom prst="roundRect">
          <a:avLst/>
        </a:prstGeom>
        <a:solidFill>
          <a:srgbClr val="00B0F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u="sng">
              <a:solidFill>
                <a:srgbClr val="FFFF00"/>
              </a:solidFill>
            </a:rPr>
            <a:t>Contact</a:t>
          </a:r>
          <a:r>
            <a:rPr lang="en-CA" sz="1100" u="sng" baseline="0">
              <a:solidFill>
                <a:srgbClr val="FFFF00"/>
              </a:solidFill>
            </a:rPr>
            <a:t> us</a:t>
          </a:r>
          <a:endParaRPr lang="en-CA" sz="1100" u="sng"/>
        </a:p>
      </xdr:txBody>
    </xdr:sp>
    <xdr:clientData/>
  </xdr:twoCellAnchor>
  <xdr:twoCellAnchor>
    <xdr:from>
      <xdr:col>18</xdr:col>
      <xdr:colOff>31823</xdr:colOff>
      <xdr:row>31</xdr:row>
      <xdr:rowOff>78279</xdr:rowOff>
    </xdr:from>
    <xdr:to>
      <xdr:col>20</xdr:col>
      <xdr:colOff>25321</xdr:colOff>
      <xdr:row>35</xdr:row>
      <xdr:rowOff>72279</xdr:rowOff>
    </xdr:to>
    <xdr:sp macro="" textlink="">
      <xdr:nvSpPr>
        <xdr:cNvPr id="16" name="Rectangle: Rounded Corners 15">
          <a:hlinkClick xmlns:r="http://schemas.openxmlformats.org/officeDocument/2006/relationships" r:id="rId6"/>
          <a:extLst>
            <a:ext uri="{FF2B5EF4-FFF2-40B4-BE49-F238E27FC236}">
              <a16:creationId xmlns:a16="http://schemas.microsoft.com/office/drawing/2014/main" id="{2F1F843A-D97D-44AA-9B21-69925300D8C3}"/>
            </a:ext>
          </a:extLst>
        </xdr:cNvPr>
        <xdr:cNvSpPr/>
      </xdr:nvSpPr>
      <xdr:spPr>
        <a:xfrm>
          <a:off x="12536787" y="6153869"/>
          <a:ext cx="2272695" cy="756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detailed</a:t>
          </a:r>
          <a:r>
            <a:rPr lang="en-CA" sz="1100" baseline="0"/>
            <a:t> </a:t>
          </a:r>
          <a:r>
            <a:rPr lang="en-CA" sz="1100" u="sng" baseline="0"/>
            <a:t>field input costs</a:t>
          </a:r>
          <a:endParaRPr lang="en-CA" sz="1100" u="sng"/>
        </a:p>
      </xdr:txBody>
    </xdr:sp>
    <xdr:clientData/>
  </xdr:twoCellAnchor>
  <xdr:twoCellAnchor>
    <xdr:from>
      <xdr:col>12</xdr:col>
      <xdr:colOff>431799</xdr:colOff>
      <xdr:row>31</xdr:row>
      <xdr:rowOff>64080</xdr:rowOff>
    </xdr:from>
    <xdr:to>
      <xdr:col>16</xdr:col>
      <xdr:colOff>1502171</xdr:colOff>
      <xdr:row>35</xdr:row>
      <xdr:rowOff>58080</xdr:rowOff>
    </xdr:to>
    <xdr:sp macro="" textlink="">
      <xdr:nvSpPr>
        <xdr:cNvPr id="17" name="Rectangle: Rounded Corners 16">
          <a:hlinkClick xmlns:r="http://schemas.openxmlformats.org/officeDocument/2006/relationships" r:id="rId7"/>
          <a:extLst>
            <a:ext uri="{FF2B5EF4-FFF2-40B4-BE49-F238E27FC236}">
              <a16:creationId xmlns:a16="http://schemas.microsoft.com/office/drawing/2014/main" id="{0262ACE3-0998-44D5-8A5B-83DE7FD54BC5}"/>
            </a:ext>
          </a:extLst>
        </xdr:cNvPr>
        <xdr:cNvSpPr/>
      </xdr:nvSpPr>
      <xdr:spPr>
        <a:xfrm>
          <a:off x="8677728" y="6139670"/>
          <a:ext cx="3710157" cy="756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detailed</a:t>
          </a:r>
          <a:r>
            <a:rPr lang="en-CA" sz="1100" baseline="0"/>
            <a:t> </a:t>
          </a:r>
          <a:r>
            <a:rPr lang="en-CA" sz="1100" u="sng" baseline="0"/>
            <a:t>agrochemical costs</a:t>
          </a:r>
          <a:endParaRPr lang="en-CA" sz="1100" u="sng"/>
        </a:p>
      </xdr:txBody>
    </xdr:sp>
    <xdr:clientData/>
  </xdr:twoCellAnchor>
  <xdr:twoCellAnchor>
    <xdr:from>
      <xdr:col>6</xdr:col>
      <xdr:colOff>25133</xdr:colOff>
      <xdr:row>31</xdr:row>
      <xdr:rowOff>69014</xdr:rowOff>
    </xdr:from>
    <xdr:to>
      <xdr:col>7</xdr:col>
      <xdr:colOff>1536565</xdr:colOff>
      <xdr:row>35</xdr:row>
      <xdr:rowOff>63014</xdr:rowOff>
    </xdr:to>
    <xdr:sp macro="" textlink="">
      <xdr:nvSpPr>
        <xdr:cNvPr id="18" name="Rectangle: Rounded Corners 17">
          <a:hlinkClick xmlns:r="http://schemas.openxmlformats.org/officeDocument/2006/relationships" r:id="rId8"/>
          <a:extLst>
            <a:ext uri="{FF2B5EF4-FFF2-40B4-BE49-F238E27FC236}">
              <a16:creationId xmlns:a16="http://schemas.microsoft.com/office/drawing/2014/main" id="{ECCCC306-65DC-48BE-8B92-056C3F3D7BC8}"/>
            </a:ext>
          </a:extLst>
        </xdr:cNvPr>
        <xdr:cNvSpPr/>
      </xdr:nvSpPr>
      <xdr:spPr>
        <a:xfrm>
          <a:off x="3998419" y="6144604"/>
          <a:ext cx="2021700" cy="756000"/>
        </a:xfrm>
        <a:prstGeom prst="roundRect">
          <a:avLst/>
        </a:prstGeom>
        <a:solidFill>
          <a:srgbClr val="7030A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100" u="sng">
              <a:solidFill>
                <a:srgbClr val="FFFF00"/>
              </a:solidFill>
            </a:rPr>
            <a:t>Unit </a:t>
          </a:r>
          <a:r>
            <a:rPr lang="en-CA" sz="1100" u="sng" baseline="0">
              <a:solidFill>
                <a:srgbClr val="FFFF00"/>
              </a:solidFill>
            </a:rPr>
            <a:t>converter</a:t>
          </a:r>
          <a:endParaRPr lang="en-CA" sz="1100" u="sng">
            <a:solidFill>
              <a:srgbClr val="FFFF00"/>
            </a:solidFill>
          </a:endParaRPr>
        </a:p>
      </xdr:txBody>
    </xdr:sp>
    <xdr:clientData/>
  </xdr:twoCellAnchor>
  <xdr:twoCellAnchor>
    <xdr:from>
      <xdr:col>18</xdr:col>
      <xdr:colOff>18113</xdr:colOff>
      <xdr:row>28</xdr:row>
      <xdr:rowOff>175224</xdr:rowOff>
    </xdr:from>
    <xdr:to>
      <xdr:col>23</xdr:col>
      <xdr:colOff>612321</xdr:colOff>
      <xdr:row>30</xdr:row>
      <xdr:rowOff>129267</xdr:rowOff>
    </xdr:to>
    <xdr:sp macro="" textlink="">
      <xdr:nvSpPr>
        <xdr:cNvPr id="19" name="Rectangle: Rounded Corners 18">
          <a:hlinkClick xmlns:r="http://schemas.openxmlformats.org/officeDocument/2006/relationships" r:id="rId9"/>
          <a:extLst>
            <a:ext uri="{FF2B5EF4-FFF2-40B4-BE49-F238E27FC236}">
              <a16:creationId xmlns:a16="http://schemas.microsoft.com/office/drawing/2014/main" id="{0A62F524-A28F-40ED-A683-E18D2C94D17D}"/>
            </a:ext>
          </a:extLst>
        </xdr:cNvPr>
        <xdr:cNvSpPr/>
      </xdr:nvSpPr>
      <xdr:spPr>
        <a:xfrm>
          <a:off x="12523077" y="5679314"/>
          <a:ext cx="5771727" cy="335043"/>
        </a:xfrm>
        <a:prstGeom prst="roundRect">
          <a:avLst/>
        </a:prstGeom>
        <a:solidFill>
          <a:schemeClr val="accent4">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historical</a:t>
          </a:r>
          <a:r>
            <a:rPr lang="en-CA" sz="1100" u="sng" baseline="0"/>
            <a:t> records</a:t>
          </a:r>
          <a:endParaRPr lang="en-CA" sz="1100" u="sng"/>
        </a:p>
      </xdr:txBody>
    </xdr:sp>
    <xdr:clientData/>
  </xdr:twoCellAnchor>
  <xdr:twoCellAnchor editAs="oneCell">
    <xdr:from>
      <xdr:col>19</xdr:col>
      <xdr:colOff>682029</xdr:colOff>
      <xdr:row>1</xdr:row>
      <xdr:rowOff>69568</xdr:rowOff>
    </xdr:from>
    <xdr:to>
      <xdr:col>21</xdr:col>
      <xdr:colOff>146374</xdr:colOff>
      <xdr:row>4</xdr:row>
      <xdr:rowOff>32378</xdr:rowOff>
    </xdr:to>
    <xdr:pic>
      <xdr:nvPicPr>
        <xdr:cNvPr id="5" name="Picture 4">
          <a:hlinkClick xmlns:r="http://schemas.openxmlformats.org/officeDocument/2006/relationships" r:id="rId1"/>
          <a:extLst>
            <a:ext uri="{FF2B5EF4-FFF2-40B4-BE49-F238E27FC236}">
              <a16:creationId xmlns:a16="http://schemas.microsoft.com/office/drawing/2014/main" id="{BEF5BDD1-0159-49E0-872A-8FBE48CEE4C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336157" y="219363"/>
          <a:ext cx="760396" cy="770400"/>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133368</xdr:rowOff>
    </xdr:from>
    <xdr:to>
      <xdr:col>10</xdr:col>
      <xdr:colOff>633413</xdr:colOff>
      <xdr:row>27</xdr:row>
      <xdr:rowOff>167897</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3</xdr:row>
      <xdr:rowOff>138528</xdr:rowOff>
    </xdr:from>
    <xdr:to>
      <xdr:col>20</xdr:col>
      <xdr:colOff>557211</xdr:colOff>
      <xdr:row>27</xdr:row>
      <xdr:rowOff>167896</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464610</xdr:colOff>
      <xdr:row>7</xdr:row>
      <xdr:rowOff>84553</xdr:rowOff>
    </xdr:from>
    <xdr:ext cx="1632626" cy="264560"/>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8237010" y="1370428"/>
          <a:ext cx="16326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Avg vine yield (lb/acre)</a:t>
          </a:r>
          <a:r>
            <a:rPr lang="en-CA" sz="1100" baseline="0"/>
            <a:t> = </a:t>
          </a:r>
          <a:endParaRPr lang="en-CA" sz="1100"/>
        </a:p>
      </xdr:txBody>
    </xdr:sp>
    <xdr:clientData/>
  </xdr:oneCellAnchor>
  <xdr:twoCellAnchor>
    <xdr:from>
      <xdr:col>1</xdr:col>
      <xdr:colOff>1586</xdr:colOff>
      <xdr:row>30</xdr:row>
      <xdr:rowOff>70804</xdr:rowOff>
    </xdr:from>
    <xdr:to>
      <xdr:col>10</xdr:col>
      <xdr:colOff>628650</xdr:colOff>
      <xdr:row>54</xdr:row>
      <xdr:rowOff>71465</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145256</xdr:colOff>
      <xdr:row>30</xdr:row>
      <xdr:rowOff>66701</xdr:rowOff>
    </xdr:from>
    <xdr:to>
      <xdr:col>20</xdr:col>
      <xdr:colOff>578644</xdr:colOff>
      <xdr:row>54</xdr:row>
      <xdr:rowOff>77418</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271461</xdr:colOff>
      <xdr:row>1</xdr:row>
      <xdr:rowOff>28576</xdr:rowOff>
    </xdr:from>
    <xdr:to>
      <xdr:col>6</xdr:col>
      <xdr:colOff>356736</xdr:colOff>
      <xdr:row>1</xdr:row>
      <xdr:rowOff>319088</xdr:rowOff>
    </xdr:to>
    <xdr:sp macro="" textlink="">
      <xdr:nvSpPr>
        <xdr:cNvPr id="12" name="Rectangle: Rounded Corners 11">
          <a:hlinkClick xmlns:r="http://schemas.openxmlformats.org/officeDocument/2006/relationships" r:id="rId5"/>
          <a:extLst>
            <a:ext uri="{FF2B5EF4-FFF2-40B4-BE49-F238E27FC236}">
              <a16:creationId xmlns:a16="http://schemas.microsoft.com/office/drawing/2014/main" id="{00000000-0008-0000-0300-00000C000000}"/>
            </a:ext>
          </a:extLst>
        </xdr:cNvPr>
        <xdr:cNvSpPr/>
      </xdr:nvSpPr>
      <xdr:spPr>
        <a:xfrm>
          <a:off x="271461" y="28576"/>
          <a:ext cx="3600000" cy="290512"/>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6</xdr:col>
      <xdr:colOff>604838</xdr:colOff>
      <xdr:row>28</xdr:row>
      <xdr:rowOff>38100</xdr:rowOff>
    </xdr:from>
    <xdr:to>
      <xdr:col>15</xdr:col>
      <xdr:colOff>323850</xdr:colOff>
      <xdr:row>30</xdr:row>
      <xdr:rowOff>23813</xdr:rowOff>
    </xdr:to>
    <xdr:sp macro="" textlink="">
      <xdr:nvSpPr>
        <xdr:cNvPr id="13" name="Rectangle: Rounded Corners 12">
          <a:hlinkClick xmlns:r="http://schemas.openxmlformats.org/officeDocument/2006/relationships" r:id="rId6"/>
          <a:extLst>
            <a:ext uri="{FF2B5EF4-FFF2-40B4-BE49-F238E27FC236}">
              <a16:creationId xmlns:a16="http://schemas.microsoft.com/office/drawing/2014/main" id="{00000000-0008-0000-0300-00000D000000}"/>
            </a:ext>
          </a:extLst>
        </xdr:cNvPr>
        <xdr:cNvSpPr/>
      </xdr:nvSpPr>
      <xdr:spPr>
        <a:xfrm>
          <a:off x="4119563" y="5210175"/>
          <a:ext cx="5548312" cy="357188"/>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see what agrochemicals are included in min/med</a:t>
          </a:r>
          <a:r>
            <a:rPr lang="en-CA" sz="1100" baseline="0">
              <a:solidFill>
                <a:schemeClr val="lt1"/>
              </a:solidFill>
            </a:rPr>
            <a:t> &amp; max inputs</a:t>
          </a:r>
          <a:endParaRPr lang="en-CA" sz="1100" u="sng"/>
        </a:p>
      </xdr:txBody>
    </xdr:sp>
    <xdr:clientData/>
  </xdr:twoCellAnchor>
  <xdr:twoCellAnchor>
    <xdr:from>
      <xdr:col>27</xdr:col>
      <xdr:colOff>638175</xdr:colOff>
      <xdr:row>1</xdr:row>
      <xdr:rowOff>33337</xdr:rowOff>
    </xdr:from>
    <xdr:to>
      <xdr:col>29</xdr:col>
      <xdr:colOff>1276351</xdr:colOff>
      <xdr:row>1</xdr:row>
      <xdr:rowOff>323849</xdr:rowOff>
    </xdr:to>
    <xdr:sp macro="" textlink="">
      <xdr:nvSpPr>
        <xdr:cNvPr id="11" name="Rectangle: Rounded Corners 10">
          <a:hlinkClick xmlns:r="http://schemas.openxmlformats.org/officeDocument/2006/relationships" r:id="rId5"/>
          <a:extLst>
            <a:ext uri="{FF2B5EF4-FFF2-40B4-BE49-F238E27FC236}">
              <a16:creationId xmlns:a16="http://schemas.microsoft.com/office/drawing/2014/main" id="{00000000-0008-0000-0300-00000B000000}"/>
            </a:ext>
          </a:extLst>
        </xdr:cNvPr>
        <xdr:cNvSpPr/>
      </xdr:nvSpPr>
      <xdr:spPr>
        <a:xfrm>
          <a:off x="26017538" y="33337"/>
          <a:ext cx="2519363" cy="290512"/>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wsDr>
</file>

<file path=xl/drawings/drawing5.xml><?xml version="1.0" encoding="utf-8"?>
<c:userShapes xmlns:c="http://schemas.openxmlformats.org/drawingml/2006/chart">
  <cdr:relSizeAnchor xmlns:cdr="http://schemas.openxmlformats.org/drawingml/2006/chartDrawing">
    <cdr:from>
      <cdr:x>0.0532</cdr:x>
      <cdr:y>0.08396</cdr:y>
    </cdr:from>
    <cdr:to>
      <cdr:x>0.0532</cdr:x>
      <cdr:y>0.08396</cdr:y>
    </cdr:to>
    <cdr:grpSp>
      <cdr:nvGrpSpPr>
        <cdr:cNvPr id="7" name="Group 6">
          <a:extLst xmlns:a="http://schemas.openxmlformats.org/drawingml/2006/main">
            <a:ext uri="{FF2B5EF4-FFF2-40B4-BE49-F238E27FC236}">
              <a16:creationId xmlns:a16="http://schemas.microsoft.com/office/drawing/2014/main" id="{73681FDD-537F-4951-9470-6129D9527527}"/>
            </a:ext>
          </a:extLst>
        </cdr:cNvPr>
        <cdr:cNvGrpSpPr/>
      </cdr:nvGrpSpPr>
      <cdr:grpSpPr>
        <a:xfrm xmlns:a="http://schemas.openxmlformats.org/drawingml/2006/main">
          <a:off x="330641" y="370781"/>
          <a:ext cx="0" cy="0"/>
          <a:chOff x="330641" y="370781"/>
          <a:chExt cx="0" cy="0"/>
        </a:xfrm>
        <a:solidFill xmlns:a="http://schemas.openxmlformats.org/drawingml/2006/main">
          <a:srgbClr val="FFFF00"/>
        </a:solidFill>
      </cdr:grpSpPr>
    </cdr:grpSp>
  </cdr:relSizeAnchor>
  <cdr:relSizeAnchor xmlns:cdr="http://schemas.openxmlformats.org/drawingml/2006/chartDrawing">
    <cdr:from>
      <cdr:x>0.15916</cdr:x>
      <cdr:y>0.13747</cdr:y>
    </cdr:from>
    <cdr:to>
      <cdr:x>0.51952</cdr:x>
      <cdr:y>0.2223</cdr:y>
    </cdr:to>
    <cdr:sp macro="" textlink="">
      <cdr:nvSpPr>
        <cdr:cNvPr id="9" name="TextBox 8">
          <a:extLst xmlns:a="http://schemas.openxmlformats.org/drawingml/2006/main">
            <a:ext uri="{FF2B5EF4-FFF2-40B4-BE49-F238E27FC236}">
              <a16:creationId xmlns:a16="http://schemas.microsoft.com/office/drawing/2014/main" id="{8980C053-04D5-4CCA-8C61-FD521F267181}"/>
            </a:ext>
          </a:extLst>
        </cdr:cNvPr>
        <cdr:cNvSpPr txBox="1"/>
      </cdr:nvSpPr>
      <cdr:spPr>
        <a:xfrm xmlns:a="http://schemas.openxmlformats.org/drawingml/2006/main">
          <a:off x="981604" y="600341"/>
          <a:ext cx="2222502" cy="370417"/>
        </a:xfrm>
        <a:prstGeom xmlns:a="http://schemas.openxmlformats.org/drawingml/2006/main" prst="rect">
          <a:avLst/>
        </a:prstGeom>
        <a:solidFill xmlns:a="http://schemas.openxmlformats.org/drawingml/2006/main">
          <a:srgbClr val="FFFF00"/>
        </a:solidFill>
        <a:ln xmlns:a="http://schemas.openxmlformats.org/drawingml/2006/main">
          <a:solidFill>
            <a:schemeClr val="tx1"/>
          </a:solidFill>
        </a:ln>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0.44573</cdr:x>
      <cdr:y>0.18594</cdr:y>
    </cdr:from>
    <cdr:to>
      <cdr:x>0.59399</cdr:x>
      <cdr:y>0.24896</cdr:y>
    </cdr:to>
    <cdr:sp macro="" textlink="">
      <cdr:nvSpPr>
        <cdr:cNvPr id="11" name="TextBox 10">
          <a:extLst xmlns:a="http://schemas.openxmlformats.org/drawingml/2006/main">
            <a:ext uri="{FF2B5EF4-FFF2-40B4-BE49-F238E27FC236}">
              <a16:creationId xmlns:a16="http://schemas.microsoft.com/office/drawing/2014/main" id="{B64672D4-7F63-4ACC-AEE2-D64442C766E1}"/>
            </a:ext>
          </a:extLst>
        </cdr:cNvPr>
        <cdr:cNvSpPr txBox="1"/>
      </cdr:nvSpPr>
      <cdr:spPr>
        <a:xfrm xmlns:a="http://schemas.openxmlformats.org/drawingml/2006/main">
          <a:off x="2749021" y="812008"/>
          <a:ext cx="914400" cy="2751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0.39339</cdr:x>
      <cdr:y>0.14838</cdr:y>
    </cdr:from>
    <cdr:to>
      <cdr:x>0.54166</cdr:x>
      <cdr:y>0.2017</cdr:y>
    </cdr:to>
    <cdr:sp macro="" textlink="'User input'!$W$12">
      <cdr:nvSpPr>
        <cdr:cNvPr id="12" name="TextBox 11">
          <a:extLst xmlns:a="http://schemas.openxmlformats.org/drawingml/2006/main">
            <a:ext uri="{FF2B5EF4-FFF2-40B4-BE49-F238E27FC236}">
              <a16:creationId xmlns:a16="http://schemas.microsoft.com/office/drawing/2014/main" id="{1C4CA22D-1EBE-4556-B33E-3C8E53E5F6F9}"/>
            </a:ext>
          </a:extLst>
        </cdr:cNvPr>
        <cdr:cNvSpPr txBox="1"/>
      </cdr:nvSpPr>
      <cdr:spPr>
        <a:xfrm xmlns:a="http://schemas.openxmlformats.org/drawingml/2006/main">
          <a:off x="2426230" y="647965"/>
          <a:ext cx="914400" cy="2328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E66C14F-E2B3-434E-8E0C-A1619756D904}" type="TxLink">
            <a:rPr lang="en-US" sz="1100" b="0" i="0" u="none" strike="noStrike">
              <a:solidFill>
                <a:srgbClr val="000000"/>
              </a:solidFill>
              <a:latin typeface="Calibri"/>
              <a:cs typeface="Calibri"/>
            </a:rPr>
            <a:pPr/>
            <a:t> 8,667 </a:t>
          </a:fld>
          <a:endParaRPr lang="en-CA" sz="1100"/>
        </a:p>
      </cdr:txBody>
    </cdr:sp>
  </cdr:relSizeAnchor>
</c:userShapes>
</file>

<file path=xl/drawings/drawing6.xml><?xml version="1.0" encoding="utf-8"?>
<c:userShapes xmlns:c="http://schemas.openxmlformats.org/drawingml/2006/chart">
  <cdr:relSizeAnchor xmlns:cdr="http://schemas.openxmlformats.org/drawingml/2006/chartDrawing">
    <cdr:from>
      <cdr:x>0.15569</cdr:x>
      <cdr:y>0.1392</cdr:y>
    </cdr:from>
    <cdr:to>
      <cdr:x>0.54118</cdr:x>
      <cdr:y>0.23046</cdr:y>
    </cdr:to>
    <cdr:grpSp>
      <cdr:nvGrpSpPr>
        <cdr:cNvPr id="7" name="Group 6">
          <a:extLst xmlns:a="http://schemas.openxmlformats.org/drawingml/2006/main">
            <a:ext uri="{FF2B5EF4-FFF2-40B4-BE49-F238E27FC236}">
              <a16:creationId xmlns:a16="http://schemas.microsoft.com/office/drawing/2014/main" id="{A02F9262-BBC8-4BF6-9122-622582CE3825}"/>
            </a:ext>
          </a:extLst>
        </cdr:cNvPr>
        <cdr:cNvGrpSpPr/>
      </cdr:nvGrpSpPr>
      <cdr:grpSpPr>
        <a:xfrm xmlns:a="http://schemas.openxmlformats.org/drawingml/2006/main">
          <a:off x="969436" y="604031"/>
          <a:ext cx="2400332" cy="396004"/>
          <a:chOff x="1185862" y="667943"/>
          <a:chExt cx="2390776" cy="398858"/>
        </a:xfrm>
      </cdr:grpSpPr>
      <cdr:sp macro="" textlink="">
        <cdr:nvSpPr>
          <cdr:cNvPr id="4" name="TextBox 3">
            <a:extLst xmlns:a="http://schemas.openxmlformats.org/drawingml/2006/main">
              <a:ext uri="{FF2B5EF4-FFF2-40B4-BE49-F238E27FC236}">
                <a16:creationId xmlns:a16="http://schemas.microsoft.com/office/drawing/2014/main" id="{FAA82B17-7074-4273-82A5-A3DA107AD328}"/>
              </a:ext>
            </a:extLst>
          </cdr:cNvPr>
          <cdr:cNvSpPr txBox="1"/>
        </cdr:nvSpPr>
        <cdr:spPr>
          <a:xfrm xmlns:a="http://schemas.openxmlformats.org/drawingml/2006/main">
            <a:off x="1215628" y="667943"/>
            <a:ext cx="2274094" cy="339328"/>
          </a:xfrm>
          <a:prstGeom xmlns:a="http://schemas.openxmlformats.org/drawingml/2006/main" prst="rect">
            <a:avLst/>
          </a:prstGeom>
          <a:solidFill xmlns:a="http://schemas.openxmlformats.org/drawingml/2006/main">
            <a:srgbClr val="FFFF00"/>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sp macro="" textlink="">
        <cdr:nvSpPr>
          <cdr:cNvPr id="5" name="TextBox 4">
            <a:extLst xmlns:a="http://schemas.openxmlformats.org/drawingml/2006/main">
              <a:ext uri="{FF2B5EF4-FFF2-40B4-BE49-F238E27FC236}">
                <a16:creationId xmlns:a16="http://schemas.microsoft.com/office/drawing/2014/main" id="{37D8738C-B99D-4D66-BECC-0E55E0B47762}"/>
              </a:ext>
            </a:extLst>
          </cdr:cNvPr>
          <cdr:cNvSpPr txBox="1"/>
        </cdr:nvSpPr>
        <cdr:spPr>
          <a:xfrm xmlns:a="http://schemas.openxmlformats.org/drawingml/2006/main">
            <a:off x="1185862" y="715567"/>
            <a:ext cx="1613297" cy="3512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100"/>
              <a:t>Avg</a:t>
            </a:r>
            <a:r>
              <a:rPr lang="en-CA" sz="1100" baseline="0"/>
              <a:t> vine yield (lb/acre) = </a:t>
            </a:r>
            <a:endParaRPr lang="en-CA" sz="1100"/>
          </a:p>
        </cdr:txBody>
      </cdr:sp>
      <cdr:sp macro="" textlink="'User input'!$W$12">
        <cdr:nvSpPr>
          <cdr:cNvPr id="6" name="TextBox 5">
            <a:extLst xmlns:a="http://schemas.openxmlformats.org/drawingml/2006/main">
              <a:ext uri="{FF2B5EF4-FFF2-40B4-BE49-F238E27FC236}">
                <a16:creationId xmlns:a16="http://schemas.microsoft.com/office/drawing/2014/main" id="{13BD34D0-8EAB-4C45-9BC6-4D1B364FD8A9}"/>
              </a:ext>
            </a:extLst>
          </cdr:cNvPr>
          <cdr:cNvSpPr txBox="1"/>
        </cdr:nvSpPr>
        <cdr:spPr>
          <a:xfrm xmlns:a="http://schemas.openxmlformats.org/drawingml/2006/main">
            <a:off x="2662238" y="721521"/>
            <a:ext cx="91440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8B7E2046-9D43-40A7-9E73-B45F9A5253E4}" type="TxLink">
              <a:rPr lang="en-US" sz="1100" b="0" i="0" u="none" strike="noStrike">
                <a:solidFill>
                  <a:srgbClr val="000000"/>
                </a:solidFill>
                <a:latin typeface="Calibri"/>
                <a:cs typeface="Calibri"/>
              </a:rPr>
              <a:pPr/>
              <a:t> 8,667 </a:t>
            </a:fld>
            <a:endParaRPr lang="en-CA" sz="1100"/>
          </a:p>
        </cdr:txBody>
      </cdr:sp>
    </cdr:grpSp>
  </cdr:relSizeAnchor>
</c:userShapes>
</file>

<file path=xl/drawings/drawing7.xml><?xml version="1.0" encoding="utf-8"?>
<xdr:wsDr xmlns:xdr="http://schemas.openxmlformats.org/drawingml/2006/spreadsheetDrawing" xmlns:a="http://schemas.openxmlformats.org/drawingml/2006/main">
  <xdr:twoCellAnchor>
    <xdr:from>
      <xdr:col>1</xdr:col>
      <xdr:colOff>4763</xdr:colOff>
      <xdr:row>1</xdr:row>
      <xdr:rowOff>28574</xdr:rowOff>
    </xdr:from>
    <xdr:to>
      <xdr:col>4</xdr:col>
      <xdr:colOff>599625</xdr:colOff>
      <xdr:row>1</xdr:row>
      <xdr:rowOff>320174</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85738" y="28574"/>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12</xdr:col>
      <xdr:colOff>14289</xdr:colOff>
      <xdr:row>38</xdr:row>
      <xdr:rowOff>87083</xdr:rowOff>
    </xdr:from>
    <xdr:to>
      <xdr:col>13</xdr:col>
      <xdr:colOff>1462087</xdr:colOff>
      <xdr:row>41</xdr:row>
      <xdr:rowOff>3401</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0400-000006000000}"/>
            </a:ext>
          </a:extLst>
        </xdr:cNvPr>
        <xdr:cNvSpPr/>
      </xdr:nvSpPr>
      <xdr:spPr>
        <a:xfrm>
          <a:off x="10396539" y="7251244"/>
          <a:ext cx="3597727" cy="467407"/>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breakeven charts</a:t>
          </a:r>
        </a:p>
      </xdr:txBody>
    </xdr:sp>
    <xdr:clientData/>
  </xdr:twoCellAnchor>
  <xdr:twoCellAnchor>
    <xdr:from>
      <xdr:col>47</xdr:col>
      <xdr:colOff>343697</xdr:colOff>
      <xdr:row>1</xdr:row>
      <xdr:rowOff>371514</xdr:rowOff>
    </xdr:from>
    <xdr:to>
      <xdr:col>53</xdr:col>
      <xdr:colOff>477010</xdr:colOff>
      <xdr:row>31</xdr:row>
      <xdr:rowOff>105909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261937</xdr:colOff>
      <xdr:row>1</xdr:row>
      <xdr:rowOff>371514</xdr:rowOff>
    </xdr:from>
    <xdr:to>
      <xdr:col>47</xdr:col>
      <xdr:colOff>304762</xdr:colOff>
      <xdr:row>31</xdr:row>
      <xdr:rowOff>107497</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195261</xdr:colOff>
      <xdr:row>1</xdr:row>
      <xdr:rowOff>28575</xdr:rowOff>
    </xdr:from>
    <xdr:to>
      <xdr:col>23</xdr:col>
      <xdr:colOff>218624</xdr:colOff>
      <xdr:row>1</xdr:row>
      <xdr:rowOff>320175</xdr:rowOff>
    </xdr:to>
    <xdr:sp macro="" textlink="">
      <xdr:nvSpPr>
        <xdr:cNvPr id="13" name="Rectangle: Rounded Corners 12">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16630649" y="28575"/>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41</xdr:col>
      <xdr:colOff>257175</xdr:colOff>
      <xdr:row>1</xdr:row>
      <xdr:rowOff>33338</xdr:rowOff>
    </xdr:from>
    <xdr:to>
      <xdr:col>43</xdr:col>
      <xdr:colOff>1333050</xdr:colOff>
      <xdr:row>1</xdr:row>
      <xdr:rowOff>324938</xdr:rowOff>
    </xdr:to>
    <xdr:sp macro="" textlink="">
      <xdr:nvSpPr>
        <xdr:cNvPr id="14" name="Rectangle: Rounded Corners 13">
          <a:hlinkClick xmlns:r="http://schemas.openxmlformats.org/officeDocument/2006/relationships" r:id="rId1"/>
          <a:extLst>
            <a:ext uri="{FF2B5EF4-FFF2-40B4-BE49-F238E27FC236}">
              <a16:creationId xmlns:a16="http://schemas.microsoft.com/office/drawing/2014/main" id="{00000000-0008-0000-0400-00000E000000}"/>
            </a:ext>
          </a:extLst>
        </xdr:cNvPr>
        <xdr:cNvSpPr/>
      </xdr:nvSpPr>
      <xdr:spPr>
        <a:xfrm>
          <a:off x="30346650" y="33338"/>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47</xdr:col>
      <xdr:colOff>342899</xdr:colOff>
      <xdr:row>1</xdr:row>
      <xdr:rowOff>38100</xdr:rowOff>
    </xdr:from>
    <xdr:to>
      <xdr:col>49</xdr:col>
      <xdr:colOff>1266374</xdr:colOff>
      <xdr:row>1</xdr:row>
      <xdr:rowOff>329700</xdr:rowOff>
    </xdr:to>
    <xdr:sp macro="" textlink="">
      <xdr:nvSpPr>
        <xdr:cNvPr id="15" name="Rectangle: Rounded Corners 14">
          <a:hlinkClick xmlns:r="http://schemas.openxmlformats.org/officeDocument/2006/relationships" r:id="rId1"/>
          <a:extLst>
            <a:ext uri="{FF2B5EF4-FFF2-40B4-BE49-F238E27FC236}">
              <a16:creationId xmlns:a16="http://schemas.microsoft.com/office/drawing/2014/main" id="{00000000-0008-0000-0400-00000F000000}"/>
            </a:ext>
          </a:extLst>
        </xdr:cNvPr>
        <xdr:cNvSpPr/>
      </xdr:nvSpPr>
      <xdr:spPr>
        <a:xfrm>
          <a:off x="38309549" y="38100"/>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54</xdr:col>
      <xdr:colOff>242887</xdr:colOff>
      <xdr:row>1</xdr:row>
      <xdr:rowOff>33337</xdr:rowOff>
    </xdr:from>
    <xdr:to>
      <xdr:col>58</xdr:col>
      <xdr:colOff>768</xdr:colOff>
      <xdr:row>1</xdr:row>
      <xdr:rowOff>324937</xdr:rowOff>
    </xdr:to>
    <xdr:sp macro="" textlink="">
      <xdr:nvSpPr>
        <xdr:cNvPr id="16" name="Rectangle: Rounded Corners 15">
          <a:hlinkClick xmlns:r="http://schemas.openxmlformats.org/officeDocument/2006/relationships" r:id="rId1"/>
          <a:extLst>
            <a:ext uri="{FF2B5EF4-FFF2-40B4-BE49-F238E27FC236}">
              <a16:creationId xmlns:a16="http://schemas.microsoft.com/office/drawing/2014/main" id="{00000000-0008-0000-0400-000010000000}"/>
            </a:ext>
          </a:extLst>
        </xdr:cNvPr>
        <xdr:cNvSpPr/>
      </xdr:nvSpPr>
      <xdr:spPr>
        <a:xfrm>
          <a:off x="54594918" y="33337"/>
          <a:ext cx="36036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0</xdr:col>
      <xdr:colOff>166686</xdr:colOff>
      <xdr:row>101</xdr:row>
      <xdr:rowOff>61925</xdr:rowOff>
    </xdr:from>
    <xdr:to>
      <xdr:col>4</xdr:col>
      <xdr:colOff>580573</xdr:colOff>
      <xdr:row>102</xdr:row>
      <xdr:rowOff>163026</xdr:rowOff>
    </xdr:to>
    <xdr:sp macro="" textlink="">
      <xdr:nvSpPr>
        <xdr:cNvPr id="17" name="Rectangle: Rounded Corners 16">
          <a:hlinkClick xmlns:r="http://schemas.openxmlformats.org/officeDocument/2006/relationships" r:id="rId1"/>
          <a:extLst>
            <a:ext uri="{FF2B5EF4-FFF2-40B4-BE49-F238E27FC236}">
              <a16:creationId xmlns:a16="http://schemas.microsoft.com/office/drawing/2014/main" id="{00000000-0008-0000-0400-000011000000}"/>
            </a:ext>
          </a:extLst>
        </xdr:cNvPr>
        <xdr:cNvSpPr/>
      </xdr:nvSpPr>
      <xdr:spPr>
        <a:xfrm>
          <a:off x="166686" y="12977825"/>
          <a:ext cx="3600000" cy="291601"/>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31</xdr:col>
      <xdr:colOff>8996</xdr:colOff>
      <xdr:row>36</xdr:row>
      <xdr:rowOff>18000</xdr:rowOff>
    </xdr:from>
    <xdr:to>
      <xdr:col>33</xdr:col>
      <xdr:colOff>74612</xdr:colOff>
      <xdr:row>38</xdr:row>
      <xdr:rowOff>132302</xdr:rowOff>
    </xdr:to>
    <xdr:sp macro="" textlink="">
      <xdr:nvSpPr>
        <xdr:cNvPr id="18" name="Rectangle: Rounded Corners 17">
          <a:hlinkClick xmlns:r="http://schemas.openxmlformats.org/officeDocument/2006/relationships" r:id="rId2"/>
          <a:extLst>
            <a:ext uri="{FF2B5EF4-FFF2-40B4-BE49-F238E27FC236}">
              <a16:creationId xmlns:a16="http://schemas.microsoft.com/office/drawing/2014/main" id="{00000000-0008-0000-0400-000012000000}"/>
            </a:ext>
          </a:extLst>
        </xdr:cNvPr>
        <xdr:cNvSpPr/>
      </xdr:nvSpPr>
      <xdr:spPr>
        <a:xfrm>
          <a:off x="27174296" y="6833138"/>
          <a:ext cx="3613679" cy="476252"/>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breakeven charts</a:t>
          </a:r>
        </a:p>
      </xdr:txBody>
    </xdr:sp>
    <xdr:clientData/>
  </xdr:twoCellAnchor>
  <xdr:twoCellAnchor>
    <xdr:from>
      <xdr:col>31</xdr:col>
      <xdr:colOff>4233</xdr:colOff>
      <xdr:row>33</xdr:row>
      <xdr:rowOff>185217</xdr:rowOff>
    </xdr:from>
    <xdr:to>
      <xdr:col>33</xdr:col>
      <xdr:colOff>59874</xdr:colOff>
      <xdr:row>35</xdr:row>
      <xdr:rowOff>119102</xdr:rowOff>
    </xdr:to>
    <xdr:sp macro="" textlink="">
      <xdr:nvSpPr>
        <xdr:cNvPr id="19" name="Rectangle: Rounded Corners 18">
          <a:hlinkClick xmlns:r="http://schemas.openxmlformats.org/officeDocument/2006/relationships" r:id="rId1"/>
          <a:extLst>
            <a:ext uri="{FF2B5EF4-FFF2-40B4-BE49-F238E27FC236}">
              <a16:creationId xmlns:a16="http://schemas.microsoft.com/office/drawing/2014/main" id="{FBB8304E-16D8-4D23-A04B-CA1BE49AE768}"/>
            </a:ext>
          </a:extLst>
        </xdr:cNvPr>
        <xdr:cNvSpPr/>
      </xdr:nvSpPr>
      <xdr:spPr>
        <a:xfrm>
          <a:off x="27169533" y="6443142"/>
          <a:ext cx="3603704" cy="30536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12</xdr:col>
      <xdr:colOff>9525</xdr:colOff>
      <xdr:row>36</xdr:row>
      <xdr:rowOff>68037</xdr:rowOff>
    </xdr:from>
    <xdr:to>
      <xdr:col>13</xdr:col>
      <xdr:colOff>1456874</xdr:colOff>
      <xdr:row>37</xdr:row>
      <xdr:rowOff>169138</xdr:rowOff>
    </xdr:to>
    <xdr:sp macro="" textlink="">
      <xdr:nvSpPr>
        <xdr:cNvPr id="20" name="Rectangle: Rounded Corners 19">
          <a:hlinkClick xmlns:r="http://schemas.openxmlformats.org/officeDocument/2006/relationships" r:id="rId1"/>
          <a:extLst>
            <a:ext uri="{FF2B5EF4-FFF2-40B4-BE49-F238E27FC236}">
              <a16:creationId xmlns:a16="http://schemas.microsoft.com/office/drawing/2014/main" id="{20AB79B7-0ECE-4058-9BF1-92C55AFAC2B5}"/>
            </a:ext>
          </a:extLst>
        </xdr:cNvPr>
        <xdr:cNvSpPr/>
      </xdr:nvSpPr>
      <xdr:spPr>
        <a:xfrm>
          <a:off x="10391775" y="6864806"/>
          <a:ext cx="3597278" cy="284796"/>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oneCellAnchor>
    <xdr:from>
      <xdr:col>43</xdr:col>
      <xdr:colOff>592931</xdr:colOff>
      <xdr:row>12</xdr:row>
      <xdr:rowOff>159544</xdr:rowOff>
    </xdr:from>
    <xdr:ext cx="65" cy="172227"/>
    <xdr:sp macro="" textlink="">
      <xdr:nvSpPr>
        <xdr:cNvPr id="4" name="TextBox 3">
          <a:extLst>
            <a:ext uri="{FF2B5EF4-FFF2-40B4-BE49-F238E27FC236}">
              <a16:creationId xmlns:a16="http://schemas.microsoft.com/office/drawing/2014/main" id="{0406A8F6-7A38-4AB9-86BE-173BE0D2C6E1}"/>
            </a:ext>
          </a:extLst>
        </xdr:cNvPr>
        <xdr:cNvSpPr txBox="1"/>
      </xdr:nvSpPr>
      <xdr:spPr>
        <a:xfrm>
          <a:off x="37673756" y="24360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41</xdr:col>
      <xdr:colOff>419100</xdr:colOff>
      <xdr:row>3</xdr:row>
      <xdr:rowOff>161926</xdr:rowOff>
    </xdr:from>
    <xdr:to>
      <xdr:col>42</xdr:col>
      <xdr:colOff>637027</xdr:colOff>
      <xdr:row>6</xdr:row>
      <xdr:rowOff>110739</xdr:rowOff>
    </xdr:to>
    <xdr:grpSp>
      <xdr:nvGrpSpPr>
        <xdr:cNvPr id="7" name="Group 6">
          <a:extLst>
            <a:ext uri="{FF2B5EF4-FFF2-40B4-BE49-F238E27FC236}">
              <a16:creationId xmlns:a16="http://schemas.microsoft.com/office/drawing/2014/main" id="{5AD40813-2C72-4177-BA65-1345B2B9EAAD}"/>
            </a:ext>
          </a:extLst>
        </xdr:cNvPr>
        <xdr:cNvGrpSpPr/>
      </xdr:nvGrpSpPr>
      <xdr:grpSpPr>
        <a:xfrm>
          <a:off x="38868350" y="759885"/>
          <a:ext cx="1413843" cy="520313"/>
          <a:chOff x="34975800" y="762001"/>
          <a:chExt cx="1403790" cy="510788"/>
        </a:xfrm>
      </xdr:grpSpPr>
      <xdr:sp macro="" textlink="'User input'!D7">
        <xdr:nvSpPr>
          <xdr:cNvPr id="5" name="TextBox 4">
            <a:extLst>
              <a:ext uri="{FF2B5EF4-FFF2-40B4-BE49-F238E27FC236}">
                <a16:creationId xmlns:a16="http://schemas.microsoft.com/office/drawing/2014/main" id="{5EA381FC-8D3F-4F84-9C1D-26FEF1577312}"/>
              </a:ext>
            </a:extLst>
          </xdr:cNvPr>
          <xdr:cNvSpPr txBox="1"/>
        </xdr:nvSpPr>
        <xdr:spPr>
          <a:xfrm>
            <a:off x="34980562" y="762001"/>
            <a:ext cx="139902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818177C0-550E-45DA-8A96-BB5716C867F6}" type="TxLink">
              <a:rPr lang="en-US" sz="1000" b="0" i="0" u="none" strike="noStrike">
                <a:solidFill>
                  <a:schemeClr val="bg1"/>
                </a:solidFill>
                <a:latin typeface="Calibri"/>
                <a:cs typeface="Calibri"/>
              </a:rPr>
              <a:pPr/>
              <a:t>Blueberry Field #1</a:t>
            </a:fld>
            <a:endParaRPr lang="en-CA" sz="1100">
              <a:solidFill>
                <a:schemeClr val="bg1"/>
              </a:solidFill>
            </a:endParaRPr>
          </a:p>
        </xdr:txBody>
      </xdr:sp>
      <xdr:sp macro="" textlink="'User input'!D8">
        <xdr:nvSpPr>
          <xdr:cNvPr id="21" name="TextBox 20">
            <a:extLst>
              <a:ext uri="{FF2B5EF4-FFF2-40B4-BE49-F238E27FC236}">
                <a16:creationId xmlns:a16="http://schemas.microsoft.com/office/drawing/2014/main" id="{A9D14D3B-B925-4B3C-B619-887B0E975245}"/>
              </a:ext>
            </a:extLst>
          </xdr:cNvPr>
          <xdr:cNvSpPr txBox="1"/>
        </xdr:nvSpPr>
        <xdr:spPr>
          <a:xfrm>
            <a:off x="34975800" y="1023938"/>
            <a:ext cx="139902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FBAD17E6-7CA0-439C-89C0-50C6C5A29D75}" type="TxLink">
              <a:rPr lang="en-US" sz="1000" b="0" i="0" u="none" strike="noStrike">
                <a:solidFill>
                  <a:schemeClr val="bg1"/>
                </a:solidFill>
                <a:latin typeface="Calibri"/>
                <a:cs typeface="Calibri"/>
              </a:rPr>
              <a:pPr/>
              <a:t>November 19, 2021</a:t>
            </a:fld>
            <a:endParaRPr lang="en-CA" sz="1100">
              <a:solidFill>
                <a:schemeClr val="bg1"/>
              </a:solidFill>
            </a:endParaRPr>
          </a:p>
        </xdr:txBody>
      </xdr:sp>
    </xdr:grpSp>
    <xdr:clientData/>
  </xdr:twoCellAnchor>
  <xdr:twoCellAnchor>
    <xdr:from>
      <xdr:col>47</xdr:col>
      <xdr:colOff>457200</xdr:colOff>
      <xdr:row>4</xdr:row>
      <xdr:rowOff>19050</xdr:rowOff>
    </xdr:from>
    <xdr:to>
      <xdr:col>48</xdr:col>
      <xdr:colOff>522727</xdr:colOff>
      <xdr:row>6</xdr:row>
      <xdr:rowOff>153601</xdr:rowOff>
    </xdr:to>
    <xdr:grpSp>
      <xdr:nvGrpSpPr>
        <xdr:cNvPr id="22" name="Group 21">
          <a:extLst>
            <a:ext uri="{FF2B5EF4-FFF2-40B4-BE49-F238E27FC236}">
              <a16:creationId xmlns:a16="http://schemas.microsoft.com/office/drawing/2014/main" id="{341657F9-C6AD-4132-91EF-1BA23CF5B7F4}"/>
            </a:ext>
          </a:extLst>
        </xdr:cNvPr>
        <xdr:cNvGrpSpPr/>
      </xdr:nvGrpSpPr>
      <xdr:grpSpPr>
        <a:xfrm>
          <a:off x="46822784" y="807509"/>
          <a:ext cx="1409609" cy="515551"/>
          <a:chOff x="34975800" y="762001"/>
          <a:chExt cx="1403790" cy="510788"/>
        </a:xfrm>
      </xdr:grpSpPr>
      <xdr:sp macro="" textlink="'User input'!D7">
        <xdr:nvSpPr>
          <xdr:cNvPr id="23" name="TextBox 22">
            <a:extLst>
              <a:ext uri="{FF2B5EF4-FFF2-40B4-BE49-F238E27FC236}">
                <a16:creationId xmlns:a16="http://schemas.microsoft.com/office/drawing/2014/main" id="{689A1912-D343-4983-B03A-8830C40B4E40}"/>
              </a:ext>
            </a:extLst>
          </xdr:cNvPr>
          <xdr:cNvSpPr txBox="1"/>
        </xdr:nvSpPr>
        <xdr:spPr>
          <a:xfrm>
            <a:off x="34980562" y="762001"/>
            <a:ext cx="139902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818177C0-550E-45DA-8A96-BB5716C867F6}" type="TxLink">
              <a:rPr lang="en-US" sz="1000" b="0" i="0" u="none" strike="noStrike">
                <a:solidFill>
                  <a:schemeClr val="bg1"/>
                </a:solidFill>
                <a:latin typeface="Calibri"/>
                <a:cs typeface="Calibri"/>
              </a:rPr>
              <a:pPr/>
              <a:t>Blueberry Field #1</a:t>
            </a:fld>
            <a:endParaRPr lang="en-CA" sz="1100">
              <a:solidFill>
                <a:schemeClr val="bg1"/>
              </a:solidFill>
            </a:endParaRPr>
          </a:p>
        </xdr:txBody>
      </xdr:sp>
      <xdr:sp macro="" textlink="'User input'!D8">
        <xdr:nvSpPr>
          <xdr:cNvPr id="24" name="TextBox 23">
            <a:extLst>
              <a:ext uri="{FF2B5EF4-FFF2-40B4-BE49-F238E27FC236}">
                <a16:creationId xmlns:a16="http://schemas.microsoft.com/office/drawing/2014/main" id="{95559FF4-05BA-4838-B46F-3A1D5EC4352E}"/>
              </a:ext>
            </a:extLst>
          </xdr:cNvPr>
          <xdr:cNvSpPr txBox="1"/>
        </xdr:nvSpPr>
        <xdr:spPr>
          <a:xfrm>
            <a:off x="34975800" y="1023938"/>
            <a:ext cx="139902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FBAD17E6-7CA0-439C-89C0-50C6C5A29D75}" type="TxLink">
              <a:rPr lang="en-US" sz="1000" b="0" i="0" u="none" strike="noStrike">
                <a:solidFill>
                  <a:schemeClr val="bg1"/>
                </a:solidFill>
                <a:latin typeface="Calibri"/>
                <a:cs typeface="Calibri"/>
              </a:rPr>
              <a:pPr/>
              <a:t>November 19, 2021</a:t>
            </a:fld>
            <a:endParaRPr lang="en-CA" sz="1100">
              <a:solidFill>
                <a:schemeClr val="bg1"/>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226217</xdr:colOff>
      <xdr:row>15</xdr:row>
      <xdr:rowOff>2379</xdr:rowOff>
    </xdr:from>
    <xdr:to>
      <xdr:col>13</xdr:col>
      <xdr:colOff>678655</xdr:colOff>
      <xdr:row>30</xdr:row>
      <xdr:rowOff>28572</xdr:rowOff>
    </xdr:to>
    <xdr:graphicFrame macro="">
      <xdr:nvGraphicFramePr>
        <xdr:cNvPr id="4" name="Chart 3">
          <a:extLst>
            <a:ext uri="{FF2B5EF4-FFF2-40B4-BE49-F238E27FC236}">
              <a16:creationId xmlns:a16="http://schemas.microsoft.com/office/drawing/2014/main" id="{9A28F897-3DC2-4DCF-A82B-7EF11DBEA0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53578</xdr:colOff>
      <xdr:row>14</xdr:row>
      <xdr:rowOff>188117</xdr:rowOff>
    </xdr:from>
    <xdr:to>
      <xdr:col>23</xdr:col>
      <xdr:colOff>8323</xdr:colOff>
      <xdr:row>30</xdr:row>
      <xdr:rowOff>23810</xdr:rowOff>
    </xdr:to>
    <xdr:graphicFrame macro="">
      <xdr:nvGraphicFramePr>
        <xdr:cNvPr id="5" name="Chart 4">
          <a:extLst>
            <a:ext uri="{FF2B5EF4-FFF2-40B4-BE49-F238E27FC236}">
              <a16:creationId xmlns:a16="http://schemas.microsoft.com/office/drawing/2014/main" id="{2F048834-EEA2-4EE5-9686-DCA059BFE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220268</xdr:colOff>
      <xdr:row>31</xdr:row>
      <xdr:rowOff>35716</xdr:rowOff>
    </xdr:from>
    <xdr:to>
      <xdr:col>13</xdr:col>
      <xdr:colOff>672703</xdr:colOff>
      <xdr:row>45</xdr:row>
      <xdr:rowOff>169066</xdr:rowOff>
    </xdr:to>
    <xdr:graphicFrame macro="">
      <xdr:nvGraphicFramePr>
        <xdr:cNvPr id="6" name="Chart 5">
          <a:extLst>
            <a:ext uri="{FF2B5EF4-FFF2-40B4-BE49-F238E27FC236}">
              <a16:creationId xmlns:a16="http://schemas.microsoft.com/office/drawing/2014/main" id="{7068134A-2A23-4A77-8760-A64DE60ED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53578</xdr:colOff>
      <xdr:row>31</xdr:row>
      <xdr:rowOff>35716</xdr:rowOff>
    </xdr:from>
    <xdr:to>
      <xdr:col>23</xdr:col>
      <xdr:colOff>13085</xdr:colOff>
      <xdr:row>45</xdr:row>
      <xdr:rowOff>169066</xdr:rowOff>
    </xdr:to>
    <xdr:graphicFrame macro="">
      <xdr:nvGraphicFramePr>
        <xdr:cNvPr id="7" name="Chart 6">
          <a:extLst>
            <a:ext uri="{FF2B5EF4-FFF2-40B4-BE49-F238E27FC236}">
              <a16:creationId xmlns:a16="http://schemas.microsoft.com/office/drawing/2014/main" id="{9D90CD3C-4E47-4E78-980C-E993AE108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xdr:row>
      <xdr:rowOff>71437</xdr:rowOff>
    </xdr:from>
    <xdr:to>
      <xdr:col>6</xdr:col>
      <xdr:colOff>51937</xdr:colOff>
      <xdr:row>1</xdr:row>
      <xdr:rowOff>363037</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19075" y="71437"/>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8.bin"/><Relationship Id="rId1" Type="http://schemas.openxmlformats.org/officeDocument/2006/relationships/hyperlink" Target="mailto:wildblueberryto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L62"/>
  <sheetViews>
    <sheetView tabSelected="1" topLeftCell="A2" zoomScaleNormal="100" workbookViewId="0">
      <selection activeCell="W22" sqref="W22"/>
    </sheetView>
  </sheetViews>
  <sheetFormatPr defaultRowHeight="14.35" x14ac:dyDescent="0.5"/>
  <cols>
    <col min="1" max="1" width="5.64453125" customWidth="1"/>
    <col min="2" max="2" width="5.5859375" style="1" customWidth="1"/>
    <col min="22" max="22" width="5.5859375" customWidth="1"/>
  </cols>
  <sheetData>
    <row r="1" spans="1:38" hidden="1" x14ac:dyDescent="0.5">
      <c r="A1" s="328"/>
      <c r="B1" s="328"/>
      <c r="C1" s="328"/>
      <c r="D1" s="328"/>
      <c r="E1" s="328"/>
      <c r="F1" s="328"/>
      <c r="G1" s="328"/>
      <c r="H1" s="328"/>
      <c r="I1" s="328"/>
      <c r="J1" s="328"/>
      <c r="K1" s="328"/>
      <c r="L1" s="328"/>
      <c r="M1" s="328"/>
      <c r="N1" s="328"/>
      <c r="O1" s="328"/>
      <c r="P1" s="328"/>
      <c r="Q1" s="328"/>
      <c r="R1" s="328"/>
      <c r="S1" s="328"/>
      <c r="T1" s="328"/>
      <c r="U1" s="328"/>
      <c r="V1" s="328"/>
      <c r="W1" s="10"/>
      <c r="X1" s="10"/>
      <c r="Y1" s="10"/>
      <c r="Z1" s="10"/>
      <c r="AA1" s="10"/>
      <c r="AB1" s="10"/>
      <c r="AC1" s="10"/>
      <c r="AD1" s="10"/>
      <c r="AE1" s="10"/>
      <c r="AF1" s="10"/>
      <c r="AG1" s="10"/>
      <c r="AH1" s="10"/>
      <c r="AI1" s="10"/>
      <c r="AJ1" s="10"/>
      <c r="AK1" s="10"/>
      <c r="AL1" s="10"/>
    </row>
    <row r="2" spans="1:38" ht="28.25" customHeight="1" thickBot="1" x14ac:dyDescent="0.55000000000000004">
      <c r="A2" s="37"/>
      <c r="B2" s="37"/>
      <c r="C2" s="37"/>
      <c r="D2" s="37"/>
      <c r="E2" s="37"/>
      <c r="F2" s="37"/>
      <c r="G2" s="37"/>
      <c r="H2" s="37"/>
      <c r="I2" s="37"/>
      <c r="J2" s="37"/>
      <c r="K2" s="37"/>
      <c r="L2" s="37"/>
      <c r="M2" s="37"/>
      <c r="N2" s="37"/>
      <c r="O2" s="37"/>
      <c r="P2" s="37"/>
      <c r="Q2" s="37"/>
      <c r="R2" s="37"/>
      <c r="S2" s="37"/>
      <c r="T2" s="37"/>
      <c r="U2" s="37"/>
      <c r="V2" s="37"/>
      <c r="W2" s="10"/>
      <c r="X2" s="10"/>
      <c r="Y2" s="10"/>
      <c r="Z2" s="10"/>
      <c r="AA2" s="10"/>
      <c r="AB2" s="10"/>
      <c r="AC2" s="10"/>
      <c r="AD2" s="10"/>
      <c r="AE2" s="10"/>
      <c r="AF2" s="10"/>
      <c r="AG2" s="10"/>
      <c r="AH2" s="10"/>
      <c r="AI2" s="10"/>
      <c r="AJ2" s="10"/>
      <c r="AK2" s="10"/>
      <c r="AL2" s="10"/>
    </row>
    <row r="3" spans="1:38" s="1" customFormat="1" ht="25.1" customHeight="1" thickTop="1" x14ac:dyDescent="0.5">
      <c r="A3" s="37"/>
      <c r="B3" s="228"/>
      <c r="C3" s="229"/>
      <c r="D3" s="229"/>
      <c r="E3" s="229"/>
      <c r="F3" s="229"/>
      <c r="G3" s="229"/>
      <c r="H3" s="229"/>
      <c r="I3" s="229"/>
      <c r="J3" s="229"/>
      <c r="K3" s="229"/>
      <c r="L3" s="229"/>
      <c r="M3" s="229"/>
      <c r="N3" s="229"/>
      <c r="O3" s="229"/>
      <c r="P3" s="229"/>
      <c r="Q3" s="229"/>
      <c r="R3" s="229"/>
      <c r="S3" s="229"/>
      <c r="T3" s="229"/>
      <c r="U3" s="229"/>
      <c r="V3" s="230"/>
      <c r="W3" s="10"/>
      <c r="X3" s="10"/>
      <c r="Y3" s="10"/>
      <c r="Z3" s="10"/>
      <c r="AA3" s="10"/>
      <c r="AB3" s="10"/>
      <c r="AC3" s="10"/>
      <c r="AD3" s="10"/>
      <c r="AE3" s="10"/>
      <c r="AF3" s="10"/>
      <c r="AG3" s="10"/>
      <c r="AH3" s="10"/>
      <c r="AI3" s="10"/>
      <c r="AJ3" s="10"/>
      <c r="AK3" s="10"/>
      <c r="AL3" s="10"/>
    </row>
    <row r="4" spans="1:38" ht="14.25" customHeight="1" x14ac:dyDescent="0.5">
      <c r="A4" s="6"/>
      <c r="B4" s="12"/>
      <c r="C4" s="329" t="s">
        <v>186</v>
      </c>
      <c r="D4" s="329"/>
      <c r="E4" s="329"/>
      <c r="F4" s="329"/>
      <c r="G4" s="329"/>
      <c r="H4" s="329"/>
      <c r="I4" s="329"/>
      <c r="J4" s="329"/>
      <c r="K4" s="329"/>
      <c r="L4" s="329"/>
      <c r="M4" s="329"/>
      <c r="N4" s="329"/>
      <c r="O4" s="329"/>
      <c r="P4" s="329"/>
      <c r="Q4" s="329"/>
      <c r="R4" s="329"/>
      <c r="S4" s="329"/>
      <c r="T4" s="329"/>
      <c r="U4" s="329"/>
      <c r="V4" s="14"/>
      <c r="W4" s="10"/>
      <c r="X4" s="10"/>
      <c r="Y4" s="10"/>
      <c r="Z4" s="10"/>
      <c r="AA4" s="10"/>
      <c r="AB4" s="10"/>
      <c r="AC4" s="10"/>
      <c r="AD4" s="10"/>
      <c r="AE4" s="10"/>
      <c r="AF4" s="10"/>
      <c r="AG4" s="10"/>
      <c r="AH4" s="10"/>
      <c r="AI4" s="10"/>
      <c r="AJ4" s="10"/>
      <c r="AK4" s="10"/>
      <c r="AL4" s="10"/>
    </row>
    <row r="5" spans="1:38" x14ac:dyDescent="0.5">
      <c r="A5" s="6"/>
      <c r="B5" s="12"/>
      <c r="C5" s="329"/>
      <c r="D5" s="329"/>
      <c r="E5" s="329"/>
      <c r="F5" s="329"/>
      <c r="G5" s="329"/>
      <c r="H5" s="329"/>
      <c r="I5" s="329"/>
      <c r="J5" s="329"/>
      <c r="K5" s="329"/>
      <c r="L5" s="329"/>
      <c r="M5" s="329"/>
      <c r="N5" s="329"/>
      <c r="O5" s="329"/>
      <c r="P5" s="329"/>
      <c r="Q5" s="329"/>
      <c r="R5" s="329"/>
      <c r="S5" s="329"/>
      <c r="T5" s="329"/>
      <c r="U5" s="329"/>
      <c r="V5" s="14"/>
      <c r="W5" s="10"/>
      <c r="X5" s="10"/>
      <c r="Y5" s="10"/>
      <c r="Z5" s="10"/>
      <c r="AA5" s="10"/>
      <c r="AB5" s="10"/>
      <c r="AC5" s="10"/>
      <c r="AD5" s="10"/>
      <c r="AE5" s="10"/>
      <c r="AF5" s="10"/>
      <c r="AG5" s="10"/>
      <c r="AH5" s="10"/>
      <c r="AI5" s="10"/>
      <c r="AJ5" s="10"/>
      <c r="AK5" s="10"/>
      <c r="AL5" s="10"/>
    </row>
    <row r="6" spans="1:38" x14ac:dyDescent="0.5">
      <c r="A6" s="6"/>
      <c r="B6" s="12"/>
      <c r="C6" s="329"/>
      <c r="D6" s="329"/>
      <c r="E6" s="329"/>
      <c r="F6" s="329"/>
      <c r="G6" s="329"/>
      <c r="H6" s="329"/>
      <c r="I6" s="329"/>
      <c r="J6" s="329"/>
      <c r="K6" s="329"/>
      <c r="L6" s="329"/>
      <c r="M6" s="329"/>
      <c r="N6" s="329"/>
      <c r="O6" s="329"/>
      <c r="P6" s="329"/>
      <c r="Q6" s="329"/>
      <c r="R6" s="329"/>
      <c r="S6" s="329"/>
      <c r="T6" s="329"/>
      <c r="U6" s="329"/>
      <c r="V6" s="14"/>
      <c r="W6" s="10"/>
      <c r="X6" s="10"/>
      <c r="Y6" s="10"/>
      <c r="Z6" s="10"/>
      <c r="AA6" s="10"/>
      <c r="AB6" s="10"/>
      <c r="AC6" s="10"/>
      <c r="AD6" s="10"/>
      <c r="AE6" s="10"/>
      <c r="AF6" s="10"/>
      <c r="AG6" s="10"/>
      <c r="AH6" s="10"/>
      <c r="AI6" s="10"/>
      <c r="AJ6" s="10"/>
      <c r="AK6" s="10"/>
      <c r="AL6" s="10"/>
    </row>
    <row r="7" spans="1:38" x14ac:dyDescent="0.5">
      <c r="A7" s="6"/>
      <c r="B7" s="12"/>
      <c r="C7" s="329"/>
      <c r="D7" s="329"/>
      <c r="E7" s="329"/>
      <c r="F7" s="329"/>
      <c r="G7" s="329"/>
      <c r="H7" s="329"/>
      <c r="I7" s="329"/>
      <c r="J7" s="329"/>
      <c r="K7" s="329"/>
      <c r="L7" s="329"/>
      <c r="M7" s="329"/>
      <c r="N7" s="329"/>
      <c r="O7" s="329"/>
      <c r="P7" s="329"/>
      <c r="Q7" s="329"/>
      <c r="R7" s="329"/>
      <c r="S7" s="329"/>
      <c r="T7" s="329"/>
      <c r="U7" s="329"/>
      <c r="V7" s="14"/>
      <c r="W7" s="10"/>
      <c r="X7" s="10"/>
      <c r="Y7" s="10"/>
      <c r="Z7" s="10"/>
      <c r="AA7" s="10"/>
      <c r="AB7" s="10"/>
      <c r="AC7" s="10"/>
      <c r="AD7" s="10"/>
      <c r="AE7" s="10"/>
      <c r="AF7" s="10"/>
      <c r="AG7" s="10"/>
      <c r="AH7" s="10"/>
      <c r="AI7" s="10"/>
      <c r="AJ7" s="10"/>
      <c r="AK7" s="10"/>
      <c r="AL7" s="10"/>
    </row>
    <row r="8" spans="1:38" x14ac:dyDescent="0.5">
      <c r="A8" s="6"/>
      <c r="B8" s="12"/>
      <c r="C8" s="329"/>
      <c r="D8" s="329"/>
      <c r="E8" s="329"/>
      <c r="F8" s="329"/>
      <c r="G8" s="329"/>
      <c r="H8" s="329"/>
      <c r="I8" s="329"/>
      <c r="J8" s="329"/>
      <c r="K8" s="329"/>
      <c r="L8" s="329"/>
      <c r="M8" s="329"/>
      <c r="N8" s="329"/>
      <c r="O8" s="329"/>
      <c r="P8" s="329"/>
      <c r="Q8" s="329"/>
      <c r="R8" s="329"/>
      <c r="S8" s="329"/>
      <c r="T8" s="329"/>
      <c r="U8" s="329"/>
      <c r="V8" s="14"/>
      <c r="W8" s="10"/>
      <c r="X8" s="10"/>
      <c r="Y8" s="10"/>
      <c r="Z8" s="10"/>
      <c r="AA8" s="10"/>
      <c r="AB8" s="10"/>
      <c r="AC8" s="10"/>
      <c r="AD8" s="10"/>
      <c r="AE8" s="10"/>
      <c r="AF8" s="10"/>
      <c r="AG8" s="10"/>
      <c r="AH8" s="10"/>
      <c r="AI8" s="10"/>
      <c r="AJ8" s="10"/>
      <c r="AK8" s="10"/>
      <c r="AL8" s="10"/>
    </row>
    <row r="9" spans="1:38" x14ac:dyDescent="0.5">
      <c r="A9" s="6"/>
      <c r="B9" s="12"/>
      <c r="C9" s="329"/>
      <c r="D9" s="329"/>
      <c r="E9" s="329"/>
      <c r="F9" s="329"/>
      <c r="G9" s="329"/>
      <c r="H9" s="329"/>
      <c r="I9" s="329"/>
      <c r="J9" s="329"/>
      <c r="K9" s="329"/>
      <c r="L9" s="329"/>
      <c r="M9" s="329"/>
      <c r="N9" s="329"/>
      <c r="O9" s="329"/>
      <c r="P9" s="329"/>
      <c r="Q9" s="329"/>
      <c r="R9" s="329"/>
      <c r="S9" s="329"/>
      <c r="T9" s="329"/>
      <c r="U9" s="329"/>
      <c r="V9" s="14"/>
      <c r="W9" s="10"/>
      <c r="X9" s="10"/>
      <c r="Y9" s="10"/>
      <c r="Z9" s="10"/>
      <c r="AA9" s="10"/>
      <c r="AB9" s="10"/>
      <c r="AC9" s="10"/>
      <c r="AD9" s="10"/>
      <c r="AE9" s="10"/>
      <c r="AF9" s="10"/>
      <c r="AG9" s="10"/>
      <c r="AH9" s="10"/>
      <c r="AI9" s="10"/>
      <c r="AJ9" s="10"/>
      <c r="AK9" s="10"/>
      <c r="AL9" s="10"/>
    </row>
    <row r="10" spans="1:38" x14ac:dyDescent="0.5">
      <c r="A10" s="6"/>
      <c r="B10" s="12"/>
      <c r="C10" s="329"/>
      <c r="D10" s="329"/>
      <c r="E10" s="329"/>
      <c r="F10" s="329"/>
      <c r="G10" s="329"/>
      <c r="H10" s="329"/>
      <c r="I10" s="329"/>
      <c r="J10" s="329"/>
      <c r="K10" s="329"/>
      <c r="L10" s="329"/>
      <c r="M10" s="329"/>
      <c r="N10" s="329"/>
      <c r="O10" s="329"/>
      <c r="P10" s="329"/>
      <c r="Q10" s="329"/>
      <c r="R10" s="329"/>
      <c r="S10" s="329"/>
      <c r="T10" s="329"/>
      <c r="U10" s="329"/>
      <c r="V10" s="14"/>
      <c r="W10" s="10"/>
      <c r="X10" s="10"/>
      <c r="Y10" s="10"/>
      <c r="Z10" s="10"/>
      <c r="AA10" s="10"/>
      <c r="AB10" s="10"/>
      <c r="AC10" s="10"/>
      <c r="AD10" s="10"/>
      <c r="AE10" s="10"/>
      <c r="AF10" s="10"/>
      <c r="AG10" s="10"/>
      <c r="AH10" s="10"/>
      <c r="AI10" s="10"/>
      <c r="AJ10" s="10"/>
      <c r="AK10" s="10"/>
      <c r="AL10" s="10"/>
    </row>
    <row r="11" spans="1:38" x14ac:dyDescent="0.5">
      <c r="A11" s="6"/>
      <c r="B11" s="12"/>
      <c r="C11" s="329"/>
      <c r="D11" s="329"/>
      <c r="E11" s="329"/>
      <c r="F11" s="329"/>
      <c r="G11" s="329"/>
      <c r="H11" s="329"/>
      <c r="I11" s="329"/>
      <c r="J11" s="329"/>
      <c r="K11" s="329"/>
      <c r="L11" s="329"/>
      <c r="M11" s="329"/>
      <c r="N11" s="329"/>
      <c r="O11" s="329"/>
      <c r="P11" s="329"/>
      <c r="Q11" s="329"/>
      <c r="R11" s="329"/>
      <c r="S11" s="329"/>
      <c r="T11" s="329"/>
      <c r="U11" s="329"/>
      <c r="V11" s="14"/>
      <c r="W11" s="10"/>
      <c r="X11" s="10"/>
      <c r="Y11" s="10"/>
      <c r="Z11" s="10"/>
      <c r="AA11" s="10"/>
      <c r="AB11" s="10"/>
      <c r="AC11" s="10"/>
      <c r="AD11" s="10"/>
      <c r="AE11" s="10"/>
      <c r="AF11" s="10"/>
      <c r="AG11" s="10"/>
      <c r="AH11" s="10"/>
      <c r="AI11" s="10"/>
      <c r="AJ11" s="10"/>
      <c r="AK11" s="10"/>
      <c r="AL11" s="10"/>
    </row>
    <row r="12" spans="1:38" x14ac:dyDescent="0.5">
      <c r="A12" s="6"/>
      <c r="B12" s="12"/>
      <c r="C12" s="329"/>
      <c r="D12" s="329"/>
      <c r="E12" s="329"/>
      <c r="F12" s="329"/>
      <c r="G12" s="329"/>
      <c r="H12" s="329"/>
      <c r="I12" s="329"/>
      <c r="J12" s="329"/>
      <c r="K12" s="329"/>
      <c r="L12" s="329"/>
      <c r="M12" s="329"/>
      <c r="N12" s="329"/>
      <c r="O12" s="329"/>
      <c r="P12" s="329"/>
      <c r="Q12" s="329"/>
      <c r="R12" s="329"/>
      <c r="S12" s="329"/>
      <c r="T12" s="329"/>
      <c r="U12" s="329"/>
      <c r="V12" s="14"/>
      <c r="W12" s="10"/>
      <c r="X12" s="10"/>
      <c r="Y12" s="10"/>
      <c r="Z12" s="10"/>
      <c r="AA12" s="10"/>
      <c r="AB12" s="10"/>
      <c r="AC12" s="10"/>
      <c r="AD12" s="10"/>
      <c r="AE12" s="10"/>
      <c r="AF12" s="10"/>
      <c r="AG12" s="10"/>
      <c r="AH12" s="10"/>
      <c r="AI12" s="10"/>
      <c r="AJ12" s="10"/>
      <c r="AK12" s="10"/>
      <c r="AL12" s="10"/>
    </row>
    <row r="13" spans="1:38" x14ac:dyDescent="0.5">
      <c r="A13" s="6"/>
      <c r="B13" s="12"/>
      <c r="C13" s="329"/>
      <c r="D13" s="329"/>
      <c r="E13" s="329"/>
      <c r="F13" s="329"/>
      <c r="G13" s="329"/>
      <c r="H13" s="329"/>
      <c r="I13" s="329"/>
      <c r="J13" s="329"/>
      <c r="K13" s="329"/>
      <c r="L13" s="329"/>
      <c r="M13" s="329"/>
      <c r="N13" s="329"/>
      <c r="O13" s="329"/>
      <c r="P13" s="329"/>
      <c r="Q13" s="329"/>
      <c r="R13" s="329"/>
      <c r="S13" s="329"/>
      <c r="T13" s="329"/>
      <c r="U13" s="329"/>
      <c r="V13" s="14"/>
      <c r="W13" s="10"/>
      <c r="X13" s="10"/>
      <c r="Y13" s="10"/>
      <c r="Z13" s="10"/>
      <c r="AA13" s="10"/>
      <c r="AB13" s="10"/>
      <c r="AC13" s="10"/>
      <c r="AD13" s="10"/>
      <c r="AE13" s="10"/>
      <c r="AF13" s="10"/>
      <c r="AG13" s="10"/>
      <c r="AH13" s="10"/>
      <c r="AI13" s="10"/>
      <c r="AJ13" s="10"/>
      <c r="AK13" s="10"/>
      <c r="AL13" s="10"/>
    </row>
    <row r="14" spans="1:38" x14ac:dyDescent="0.5">
      <c r="A14" s="6"/>
      <c r="B14" s="12"/>
      <c r="C14" s="329"/>
      <c r="D14" s="329"/>
      <c r="E14" s="329"/>
      <c r="F14" s="329"/>
      <c r="G14" s="329"/>
      <c r="H14" s="329"/>
      <c r="I14" s="329"/>
      <c r="J14" s="329"/>
      <c r="K14" s="329"/>
      <c r="L14" s="329"/>
      <c r="M14" s="329"/>
      <c r="N14" s="329"/>
      <c r="O14" s="329"/>
      <c r="P14" s="329"/>
      <c r="Q14" s="329"/>
      <c r="R14" s="329"/>
      <c r="S14" s="329"/>
      <c r="T14" s="329"/>
      <c r="U14" s="329"/>
      <c r="V14" s="14"/>
      <c r="W14" s="10"/>
      <c r="X14" s="10"/>
      <c r="Y14" s="10"/>
      <c r="Z14" s="10"/>
      <c r="AA14" s="10"/>
      <c r="AB14" s="10"/>
      <c r="AC14" s="10"/>
      <c r="AD14" s="10"/>
      <c r="AE14" s="10"/>
      <c r="AF14" s="10"/>
      <c r="AG14" s="10"/>
      <c r="AH14" s="10"/>
      <c r="AI14" s="10"/>
      <c r="AJ14" s="10"/>
      <c r="AK14" s="10"/>
      <c r="AL14" s="10"/>
    </row>
    <row r="15" spans="1:38" x14ac:dyDescent="0.5">
      <c r="A15" s="6"/>
      <c r="B15" s="12"/>
      <c r="C15" s="329"/>
      <c r="D15" s="329"/>
      <c r="E15" s="329"/>
      <c r="F15" s="329"/>
      <c r="G15" s="329"/>
      <c r="H15" s="329"/>
      <c r="I15" s="329"/>
      <c r="J15" s="329"/>
      <c r="K15" s="329"/>
      <c r="L15" s="329"/>
      <c r="M15" s="329"/>
      <c r="N15" s="329"/>
      <c r="O15" s="329"/>
      <c r="P15" s="329"/>
      <c r="Q15" s="329"/>
      <c r="R15" s="329"/>
      <c r="S15" s="329"/>
      <c r="T15" s="329"/>
      <c r="U15" s="329"/>
      <c r="V15" s="14"/>
      <c r="W15" s="10"/>
      <c r="X15" s="10"/>
      <c r="Y15" s="10"/>
      <c r="Z15" s="10"/>
      <c r="AA15" s="10"/>
      <c r="AB15" s="10"/>
      <c r="AC15" s="10"/>
      <c r="AD15" s="10"/>
      <c r="AE15" s="10"/>
      <c r="AF15" s="10"/>
      <c r="AG15" s="10"/>
      <c r="AH15" s="10"/>
      <c r="AI15" s="10"/>
      <c r="AJ15" s="10"/>
      <c r="AK15" s="10"/>
      <c r="AL15" s="10"/>
    </row>
    <row r="16" spans="1:38" x14ac:dyDescent="0.5">
      <c r="A16" s="6"/>
      <c r="B16" s="12"/>
      <c r="C16" s="329"/>
      <c r="D16" s="329"/>
      <c r="E16" s="329"/>
      <c r="F16" s="329"/>
      <c r="G16" s="329"/>
      <c r="H16" s="329"/>
      <c r="I16" s="329"/>
      <c r="J16" s="329"/>
      <c r="K16" s="329"/>
      <c r="L16" s="329"/>
      <c r="M16" s="329"/>
      <c r="N16" s="329"/>
      <c r="O16" s="329"/>
      <c r="P16" s="329"/>
      <c r="Q16" s="329"/>
      <c r="R16" s="329"/>
      <c r="S16" s="329"/>
      <c r="T16" s="329"/>
      <c r="U16" s="329"/>
      <c r="V16" s="14"/>
      <c r="W16" s="10"/>
      <c r="X16" s="10"/>
      <c r="Y16" s="10"/>
      <c r="Z16" s="10"/>
      <c r="AA16" s="10"/>
      <c r="AB16" s="10"/>
      <c r="AC16" s="10"/>
      <c r="AD16" s="10"/>
      <c r="AE16" s="10"/>
      <c r="AF16" s="10"/>
      <c r="AG16" s="10"/>
      <c r="AH16" s="10"/>
      <c r="AI16" s="10"/>
      <c r="AJ16" s="10"/>
      <c r="AK16" s="10"/>
      <c r="AL16" s="10"/>
    </row>
    <row r="17" spans="1:38" x14ac:dyDescent="0.5">
      <c r="A17" s="6"/>
      <c r="B17" s="12"/>
      <c r="C17" s="329"/>
      <c r="D17" s="329"/>
      <c r="E17" s="329"/>
      <c r="F17" s="329"/>
      <c r="G17" s="329"/>
      <c r="H17" s="329"/>
      <c r="I17" s="329"/>
      <c r="J17" s="329"/>
      <c r="K17" s="329"/>
      <c r="L17" s="329"/>
      <c r="M17" s="329"/>
      <c r="N17" s="329"/>
      <c r="O17" s="329"/>
      <c r="P17" s="329"/>
      <c r="Q17" s="329"/>
      <c r="R17" s="329"/>
      <c r="S17" s="329"/>
      <c r="T17" s="329"/>
      <c r="U17" s="329"/>
      <c r="V17" s="14"/>
      <c r="W17" s="10"/>
      <c r="X17" s="10"/>
      <c r="Y17" s="10"/>
      <c r="Z17" s="10"/>
      <c r="AA17" s="10"/>
      <c r="AB17" s="10"/>
      <c r="AC17" s="10"/>
      <c r="AD17" s="10"/>
      <c r="AE17" s="10"/>
      <c r="AF17" s="10"/>
      <c r="AG17" s="10"/>
      <c r="AH17" s="10"/>
      <c r="AI17" s="10"/>
      <c r="AJ17" s="10"/>
      <c r="AK17" s="10"/>
      <c r="AL17" s="10"/>
    </row>
    <row r="18" spans="1:38" x14ac:dyDescent="0.5">
      <c r="A18" s="6"/>
      <c r="B18" s="12"/>
      <c r="C18" s="329"/>
      <c r="D18" s="329"/>
      <c r="E18" s="329"/>
      <c r="F18" s="329"/>
      <c r="G18" s="329"/>
      <c r="H18" s="329"/>
      <c r="I18" s="329"/>
      <c r="J18" s="329"/>
      <c r="K18" s="329"/>
      <c r="L18" s="329"/>
      <c r="M18" s="329"/>
      <c r="N18" s="329"/>
      <c r="O18" s="329"/>
      <c r="P18" s="329"/>
      <c r="Q18" s="329"/>
      <c r="R18" s="329"/>
      <c r="S18" s="329"/>
      <c r="T18" s="329"/>
      <c r="U18" s="329"/>
      <c r="V18" s="14"/>
      <c r="W18" s="10"/>
      <c r="X18" s="10"/>
      <c r="Y18" s="10"/>
      <c r="Z18" s="10"/>
      <c r="AA18" s="10"/>
      <c r="AB18" s="10"/>
      <c r="AC18" s="10"/>
      <c r="AD18" s="10"/>
      <c r="AE18" s="10"/>
      <c r="AF18" s="10"/>
      <c r="AG18" s="10"/>
      <c r="AH18" s="10"/>
      <c r="AI18" s="10"/>
      <c r="AJ18" s="10"/>
      <c r="AK18" s="10"/>
      <c r="AL18" s="10"/>
    </row>
    <row r="19" spans="1:38" x14ac:dyDescent="0.5">
      <c r="A19" s="6"/>
      <c r="B19" s="12"/>
      <c r="C19" s="329"/>
      <c r="D19" s="329"/>
      <c r="E19" s="329"/>
      <c r="F19" s="329"/>
      <c r="G19" s="329"/>
      <c r="H19" s="329"/>
      <c r="I19" s="329"/>
      <c r="J19" s="329"/>
      <c r="K19" s="329"/>
      <c r="L19" s="329"/>
      <c r="M19" s="329"/>
      <c r="N19" s="329"/>
      <c r="O19" s="329"/>
      <c r="P19" s="329"/>
      <c r="Q19" s="329"/>
      <c r="R19" s="329"/>
      <c r="S19" s="329"/>
      <c r="T19" s="329"/>
      <c r="U19" s="329"/>
      <c r="V19" s="14"/>
      <c r="W19" s="10"/>
      <c r="X19" s="10"/>
      <c r="Y19" s="10"/>
      <c r="Z19" s="10"/>
      <c r="AA19" s="10"/>
      <c r="AB19" s="10"/>
      <c r="AC19" s="10"/>
      <c r="AD19" s="10"/>
      <c r="AE19" s="10"/>
      <c r="AF19" s="10"/>
      <c r="AG19" s="10"/>
      <c r="AH19" s="10"/>
      <c r="AI19" s="10"/>
      <c r="AJ19" s="10"/>
      <c r="AK19" s="10"/>
      <c r="AL19" s="10"/>
    </row>
    <row r="20" spans="1:38" x14ac:dyDescent="0.5">
      <c r="A20" s="6"/>
      <c r="B20" s="12"/>
      <c r="C20" s="329"/>
      <c r="D20" s="329"/>
      <c r="E20" s="329"/>
      <c r="F20" s="329"/>
      <c r="G20" s="329"/>
      <c r="H20" s="329"/>
      <c r="I20" s="329"/>
      <c r="J20" s="329"/>
      <c r="K20" s="329"/>
      <c r="L20" s="329"/>
      <c r="M20" s="329"/>
      <c r="N20" s="329"/>
      <c r="O20" s="329"/>
      <c r="P20" s="329"/>
      <c r="Q20" s="329"/>
      <c r="R20" s="329"/>
      <c r="S20" s="329"/>
      <c r="T20" s="329"/>
      <c r="U20" s="329"/>
      <c r="V20" s="14"/>
      <c r="W20" s="10"/>
      <c r="X20" s="10"/>
      <c r="Y20" s="10"/>
      <c r="Z20" s="10"/>
      <c r="AA20" s="10"/>
      <c r="AB20" s="10"/>
      <c r="AC20" s="10"/>
      <c r="AD20" s="10"/>
      <c r="AE20" s="10"/>
      <c r="AF20" s="10"/>
      <c r="AG20" s="10"/>
      <c r="AH20" s="10"/>
      <c r="AI20" s="10"/>
      <c r="AJ20" s="10"/>
      <c r="AK20" s="10"/>
      <c r="AL20" s="10"/>
    </row>
    <row r="21" spans="1:38" x14ac:dyDescent="0.5">
      <c r="A21" s="6"/>
      <c r="B21" s="12"/>
      <c r="C21" s="329"/>
      <c r="D21" s="329"/>
      <c r="E21" s="329"/>
      <c r="F21" s="329"/>
      <c r="G21" s="329"/>
      <c r="H21" s="329"/>
      <c r="I21" s="329"/>
      <c r="J21" s="329"/>
      <c r="K21" s="329"/>
      <c r="L21" s="329"/>
      <c r="M21" s="329"/>
      <c r="N21" s="329"/>
      <c r="O21" s="329"/>
      <c r="P21" s="329"/>
      <c r="Q21" s="329"/>
      <c r="R21" s="329"/>
      <c r="S21" s="329"/>
      <c r="T21" s="329"/>
      <c r="U21" s="329"/>
      <c r="V21" s="14"/>
      <c r="W21" s="10"/>
      <c r="X21" s="10"/>
      <c r="Y21" s="10"/>
      <c r="Z21" s="10"/>
      <c r="AA21" s="10"/>
      <c r="AB21" s="10"/>
      <c r="AC21" s="10"/>
      <c r="AD21" s="10"/>
      <c r="AE21" s="10"/>
      <c r="AF21" s="10"/>
      <c r="AG21" s="10"/>
      <c r="AH21" s="10"/>
      <c r="AI21" s="10"/>
      <c r="AJ21" s="10"/>
      <c r="AK21" s="10"/>
      <c r="AL21" s="10"/>
    </row>
    <row r="22" spans="1:38" x14ac:dyDescent="0.5">
      <c r="A22" s="6"/>
      <c r="B22" s="12"/>
      <c r="C22" s="329"/>
      <c r="D22" s="329"/>
      <c r="E22" s="329"/>
      <c r="F22" s="329"/>
      <c r="G22" s="329"/>
      <c r="H22" s="329"/>
      <c r="I22" s="329"/>
      <c r="J22" s="329"/>
      <c r="K22" s="329"/>
      <c r="L22" s="329"/>
      <c r="M22" s="329"/>
      <c r="N22" s="329"/>
      <c r="O22" s="329"/>
      <c r="P22" s="329"/>
      <c r="Q22" s="329"/>
      <c r="R22" s="329"/>
      <c r="S22" s="329"/>
      <c r="T22" s="329"/>
      <c r="U22" s="329"/>
      <c r="V22" s="14"/>
      <c r="W22" s="10"/>
      <c r="X22" s="10"/>
      <c r="Y22" s="10"/>
      <c r="Z22" s="10"/>
      <c r="AA22" s="10"/>
      <c r="AB22" s="10"/>
      <c r="AC22" s="10"/>
      <c r="AD22" s="10"/>
      <c r="AE22" s="10"/>
      <c r="AF22" s="10"/>
      <c r="AG22" s="10"/>
      <c r="AH22" s="10"/>
      <c r="AI22" s="10"/>
      <c r="AJ22" s="10"/>
      <c r="AK22" s="10"/>
      <c r="AL22" s="10"/>
    </row>
    <row r="23" spans="1:38" x14ac:dyDescent="0.5">
      <c r="A23" s="6"/>
      <c r="B23" s="12"/>
      <c r="C23" s="329"/>
      <c r="D23" s="329"/>
      <c r="E23" s="329"/>
      <c r="F23" s="329"/>
      <c r="G23" s="329"/>
      <c r="H23" s="329"/>
      <c r="I23" s="329"/>
      <c r="J23" s="329"/>
      <c r="K23" s="329"/>
      <c r="L23" s="329"/>
      <c r="M23" s="329"/>
      <c r="N23" s="329"/>
      <c r="O23" s="329"/>
      <c r="P23" s="329"/>
      <c r="Q23" s="329"/>
      <c r="R23" s="329"/>
      <c r="S23" s="329"/>
      <c r="T23" s="329"/>
      <c r="U23" s="329"/>
      <c r="V23" s="14"/>
      <c r="W23" s="10"/>
      <c r="X23" s="10"/>
      <c r="Y23" s="10"/>
      <c r="Z23" s="10"/>
      <c r="AA23" s="10"/>
      <c r="AB23" s="10"/>
      <c r="AC23" s="10"/>
      <c r="AD23" s="10"/>
      <c r="AE23" s="10"/>
      <c r="AF23" s="10"/>
      <c r="AG23" s="10"/>
      <c r="AH23" s="10"/>
      <c r="AI23" s="10"/>
      <c r="AJ23" s="10"/>
      <c r="AK23" s="10"/>
      <c r="AL23" s="10"/>
    </row>
    <row r="24" spans="1:38" x14ac:dyDescent="0.5">
      <c r="A24" s="6"/>
      <c r="B24" s="12"/>
      <c r="C24" s="329"/>
      <c r="D24" s="329"/>
      <c r="E24" s="329"/>
      <c r="F24" s="329"/>
      <c r="G24" s="329"/>
      <c r="H24" s="329"/>
      <c r="I24" s="329"/>
      <c r="J24" s="329"/>
      <c r="K24" s="329"/>
      <c r="L24" s="329"/>
      <c r="M24" s="329"/>
      <c r="N24" s="329"/>
      <c r="O24" s="329"/>
      <c r="P24" s="329"/>
      <c r="Q24" s="329"/>
      <c r="R24" s="329"/>
      <c r="S24" s="329"/>
      <c r="T24" s="329"/>
      <c r="U24" s="329"/>
      <c r="V24" s="14"/>
      <c r="W24" s="10"/>
      <c r="X24" s="10"/>
      <c r="Y24" s="10"/>
      <c r="Z24" s="10"/>
      <c r="AA24" s="10"/>
      <c r="AB24" s="10"/>
      <c r="AC24" s="10"/>
      <c r="AD24" s="10"/>
      <c r="AE24" s="10"/>
      <c r="AF24" s="10"/>
      <c r="AG24" s="10"/>
      <c r="AH24" s="10"/>
      <c r="AI24" s="10"/>
      <c r="AJ24" s="10"/>
      <c r="AK24" s="10"/>
      <c r="AL24" s="10"/>
    </row>
    <row r="25" spans="1:38" x14ac:dyDescent="0.5">
      <c r="A25" s="6"/>
      <c r="B25" s="12"/>
      <c r="C25" s="329"/>
      <c r="D25" s="329"/>
      <c r="E25" s="329"/>
      <c r="F25" s="329"/>
      <c r="G25" s="329"/>
      <c r="H25" s="329"/>
      <c r="I25" s="329"/>
      <c r="J25" s="329"/>
      <c r="K25" s="329"/>
      <c r="L25" s="329"/>
      <c r="M25" s="329"/>
      <c r="N25" s="329"/>
      <c r="O25" s="329"/>
      <c r="P25" s="329"/>
      <c r="Q25" s="329"/>
      <c r="R25" s="329"/>
      <c r="S25" s="329"/>
      <c r="T25" s="329"/>
      <c r="U25" s="329"/>
      <c r="V25" s="14"/>
      <c r="W25" s="10"/>
      <c r="X25" s="10"/>
      <c r="Y25" s="10"/>
      <c r="Z25" s="10"/>
      <c r="AA25" s="10"/>
      <c r="AB25" s="10"/>
      <c r="AC25" s="10"/>
      <c r="AD25" s="10"/>
      <c r="AE25" s="10"/>
      <c r="AF25" s="10"/>
      <c r="AG25" s="10"/>
      <c r="AH25" s="10"/>
      <c r="AI25" s="10"/>
      <c r="AJ25" s="10"/>
      <c r="AK25" s="10"/>
      <c r="AL25" s="10"/>
    </row>
    <row r="26" spans="1:38" ht="25.1" customHeight="1" x14ac:dyDescent="0.5">
      <c r="A26" s="6"/>
      <c r="B26" s="12"/>
      <c r="C26" s="329"/>
      <c r="D26" s="329"/>
      <c r="E26" s="329"/>
      <c r="F26" s="329"/>
      <c r="G26" s="329"/>
      <c r="H26" s="329"/>
      <c r="I26" s="329"/>
      <c r="J26" s="329"/>
      <c r="K26" s="329"/>
      <c r="L26" s="329"/>
      <c r="M26" s="329"/>
      <c r="N26" s="329"/>
      <c r="O26" s="329"/>
      <c r="P26" s="329"/>
      <c r="Q26" s="329"/>
      <c r="R26" s="329"/>
      <c r="S26" s="329"/>
      <c r="T26" s="329"/>
      <c r="U26" s="329"/>
      <c r="V26" s="14"/>
      <c r="W26" s="10"/>
      <c r="X26" s="10"/>
      <c r="Y26" s="10"/>
      <c r="Z26" s="10"/>
      <c r="AA26" s="10"/>
      <c r="AB26" s="10"/>
      <c r="AC26" s="10"/>
      <c r="AD26" s="10"/>
      <c r="AE26" s="10"/>
      <c r="AF26" s="10"/>
      <c r="AG26" s="10"/>
      <c r="AH26" s="10"/>
      <c r="AI26" s="10"/>
      <c r="AJ26" s="10"/>
      <c r="AK26" s="10"/>
      <c r="AL26" s="10"/>
    </row>
    <row r="27" spans="1:38" x14ac:dyDescent="0.5">
      <c r="A27" s="6"/>
      <c r="B27" s="12"/>
      <c r="C27" s="13"/>
      <c r="D27" s="13"/>
      <c r="E27" s="13"/>
      <c r="F27" s="13"/>
      <c r="G27" s="13"/>
      <c r="H27" s="13"/>
      <c r="I27" s="13"/>
      <c r="J27" s="13"/>
      <c r="K27" s="13"/>
      <c r="L27" s="13"/>
      <c r="M27" s="13"/>
      <c r="N27" s="13"/>
      <c r="O27" s="13"/>
      <c r="P27" s="13"/>
      <c r="Q27" s="13"/>
      <c r="R27" s="13"/>
      <c r="S27" s="13"/>
      <c r="T27" s="13"/>
      <c r="U27" s="13"/>
      <c r="V27" s="14"/>
      <c r="W27" s="10"/>
      <c r="X27" s="10"/>
      <c r="Y27" s="10"/>
      <c r="Z27" s="10"/>
      <c r="AA27" s="10"/>
      <c r="AB27" s="10"/>
      <c r="AC27" s="10"/>
      <c r="AD27" s="10"/>
      <c r="AE27" s="10"/>
      <c r="AF27" s="10"/>
      <c r="AG27" s="10"/>
      <c r="AH27" s="10"/>
      <c r="AI27" s="10"/>
      <c r="AJ27" s="10"/>
      <c r="AK27" s="10"/>
      <c r="AL27" s="10"/>
    </row>
    <row r="28" spans="1:38" ht="14.7" thickBot="1" x14ac:dyDescent="0.55000000000000004">
      <c r="A28" s="10"/>
      <c r="B28" s="15"/>
      <c r="C28" s="16"/>
      <c r="D28" s="16"/>
      <c r="E28" s="16"/>
      <c r="F28" s="16"/>
      <c r="G28" s="16"/>
      <c r="H28" s="16"/>
      <c r="I28" s="16"/>
      <c r="J28" s="16"/>
      <c r="K28" s="16"/>
      <c r="L28" s="16"/>
      <c r="M28" s="16"/>
      <c r="N28" s="16"/>
      <c r="O28" s="16"/>
      <c r="P28" s="16"/>
      <c r="Q28" s="16"/>
      <c r="R28" s="16"/>
      <c r="S28" s="16"/>
      <c r="T28" s="16"/>
      <c r="U28" s="16"/>
      <c r="V28" s="17"/>
      <c r="W28" s="10"/>
      <c r="X28" s="10"/>
      <c r="Y28" s="10"/>
      <c r="Z28" s="10"/>
      <c r="AA28" s="10"/>
      <c r="AB28" s="10"/>
      <c r="AC28" s="10"/>
      <c r="AD28" s="10"/>
      <c r="AE28" s="10"/>
      <c r="AF28" s="10"/>
      <c r="AG28" s="10"/>
      <c r="AH28" s="10"/>
      <c r="AI28" s="10"/>
      <c r="AJ28" s="10"/>
      <c r="AK28" s="10"/>
      <c r="AL28" s="10"/>
    </row>
    <row r="29" spans="1:38" ht="14.7" thickTop="1" x14ac:dyDescent="0.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38" x14ac:dyDescent="0.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x14ac:dyDescent="0.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row>
    <row r="32" spans="1:38" x14ac:dyDescent="0.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x14ac:dyDescent="0.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row>
    <row r="34" spans="1:38" x14ac:dyDescent="0.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35" spans="1:38" x14ac:dyDescent="0.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x14ac:dyDescent="0.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x14ac:dyDescent="0.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x14ac:dyDescent="0.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x14ac:dyDescent="0.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x14ac:dyDescent="0.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x14ac:dyDescent="0.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x14ac:dyDescent="0.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x14ac:dyDescent="0.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8" x14ac:dyDescent="0.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x14ac:dyDescent="0.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38" x14ac:dyDescent="0.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x14ac:dyDescent="0.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38" x14ac:dyDescent="0.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1:38" x14ac:dyDescent="0.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1:38" x14ac:dyDescent="0.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38" x14ac:dyDescent="0.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x14ac:dyDescent="0.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38" x14ac:dyDescent="0.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x14ac:dyDescent="0.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38" x14ac:dyDescent="0.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x14ac:dyDescent="0.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38" x14ac:dyDescent="0.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row>
    <row r="58" spans="1:38" x14ac:dyDescent="0.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38" x14ac:dyDescent="0.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38" x14ac:dyDescent="0.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38" x14ac:dyDescent="0.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x14ac:dyDescent="0.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sheetData>
  <sheetProtection algorithmName="SHA-512" hashValue="KnQ5sihsToMjG51UsEtOtkMmXKl9gYz3F2f4alzlPuEQ3BlWKHaV8YYJITJaPhOEqd68CmsHZRueeTDOLMExyg==" saltValue="mztiVYU2oB42+dH42ENJvg==" spinCount="100000" sheet="1" objects="1" scenarios="1" selectLockedCells="1"/>
  <mergeCells count="2">
    <mergeCell ref="A1:V1"/>
    <mergeCell ref="C4:U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Z317"/>
  <sheetViews>
    <sheetView topLeftCell="A2" zoomScaleNormal="100" workbookViewId="0">
      <selection sqref="A1:S1"/>
    </sheetView>
  </sheetViews>
  <sheetFormatPr defaultRowHeight="14.35" x14ac:dyDescent="0.5"/>
  <cols>
    <col min="1" max="1" width="2.46875" customWidth="1"/>
    <col min="20" max="20" width="2.46875" customWidth="1"/>
  </cols>
  <sheetData>
    <row r="1" spans="1:52" ht="1.95" hidden="1" customHeight="1" x14ac:dyDescent="0.5">
      <c r="A1" s="328"/>
      <c r="B1" s="328"/>
      <c r="C1" s="328"/>
      <c r="D1" s="328"/>
      <c r="E1" s="328"/>
      <c r="F1" s="328"/>
      <c r="G1" s="328"/>
      <c r="H1" s="328"/>
      <c r="I1" s="328"/>
      <c r="J1" s="328"/>
      <c r="K1" s="328"/>
      <c r="L1" s="328"/>
      <c r="M1" s="328"/>
      <c r="N1" s="328"/>
      <c r="O1" s="328"/>
      <c r="P1" s="328"/>
      <c r="Q1" s="328"/>
      <c r="R1" s="328"/>
      <c r="S1" s="328"/>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row>
    <row r="2" spans="1:52" s="1" customFormat="1" ht="11.35" customHeight="1" x14ac:dyDescent="0.5">
      <c r="A2" s="39"/>
      <c r="B2" s="39"/>
      <c r="C2" s="39"/>
      <c r="D2" s="39"/>
      <c r="E2" s="39"/>
      <c r="F2" s="39"/>
      <c r="G2" s="39"/>
      <c r="H2" s="39"/>
      <c r="I2" s="39"/>
      <c r="J2" s="39"/>
      <c r="K2" s="39"/>
      <c r="L2" s="39"/>
      <c r="M2" s="39"/>
      <c r="N2" s="39"/>
      <c r="O2" s="39"/>
      <c r="P2" s="39"/>
      <c r="Q2" s="39"/>
      <c r="R2" s="39"/>
      <c r="S2" s="39"/>
      <c r="T2" s="39"/>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row>
    <row r="3" spans="1:52" s="27" customFormat="1" ht="27.85" customHeight="1" x14ac:dyDescent="0.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x14ac:dyDescent="0.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row>
    <row r="5" spans="1:52" x14ac:dyDescent="0.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x14ac:dyDescent="0.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row>
    <row r="7" spans="1:52" x14ac:dyDescent="0.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x14ac:dyDescent="0.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1:52" x14ac:dyDescent="0.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row>
    <row r="10" spans="1:52" x14ac:dyDescent="0.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row>
    <row r="11" spans="1:52" x14ac:dyDescent="0.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row>
    <row r="12" spans="1:52" x14ac:dyDescent="0.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1:52" x14ac:dyDescent="0.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row>
    <row r="14" spans="1:52" x14ac:dyDescent="0.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row>
    <row r="15" spans="1:52" x14ac:dyDescent="0.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row>
    <row r="16" spans="1:52" x14ac:dyDescent="0.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x14ac:dyDescent="0.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x14ac:dyDescent="0.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x14ac:dyDescent="0.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x14ac:dyDescent="0.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x14ac:dyDescent="0.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1:52" x14ac:dyDescent="0.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row>
    <row r="24" spans="1:52" x14ac:dyDescent="0.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row>
    <row r="25" spans="1:52" x14ac:dyDescent="0.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row>
    <row r="26" spans="1:52" x14ac:dyDescent="0.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row>
    <row r="27" spans="1:52" x14ac:dyDescent="0.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row>
    <row r="28" spans="1:52" x14ac:dyDescent="0.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row>
    <row r="29" spans="1:52" x14ac:dyDescent="0.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row>
    <row r="30" spans="1:52" x14ac:dyDescent="0.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row>
    <row r="32" spans="1:52" x14ac:dyDescent="0.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x14ac:dyDescent="0.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row>
    <row r="34" spans="1:52" x14ac:dyDescent="0.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row>
    <row r="35" spans="1:52" x14ac:dyDescent="0.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row>
    <row r="36" spans="1:52" x14ac:dyDescent="0.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row>
    <row r="37" spans="1:52" x14ac:dyDescent="0.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row>
    <row r="38" spans="1:52" x14ac:dyDescent="0.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row>
    <row r="39" spans="1:52" x14ac:dyDescent="0.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row>
    <row r="40" spans="1:52" x14ac:dyDescent="0.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x14ac:dyDescent="0.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row>
    <row r="42" spans="1:52" x14ac:dyDescent="0.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row>
    <row r="43" spans="1:52" x14ac:dyDescent="0.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row>
    <row r="44" spans="1:52" x14ac:dyDescent="0.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row>
    <row r="45" spans="1:52" x14ac:dyDescent="0.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row>
    <row r="46" spans="1:52" x14ac:dyDescent="0.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row>
    <row r="47" spans="1:52" x14ac:dyDescent="0.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row>
    <row r="48" spans="1:52" x14ac:dyDescent="0.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row>
    <row r="49" spans="1:52" x14ac:dyDescent="0.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row>
    <row r="50" spans="1:52" x14ac:dyDescent="0.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row>
    <row r="51" spans="1:52" x14ac:dyDescent="0.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row>
    <row r="52" spans="1:52" x14ac:dyDescent="0.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row>
    <row r="53" spans="1:52" x14ac:dyDescent="0.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row>
    <row r="54" spans="1:52" x14ac:dyDescent="0.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row>
    <row r="55" spans="1:52" x14ac:dyDescent="0.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row>
    <row r="56" spans="1:52" x14ac:dyDescent="0.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row>
    <row r="57" spans="1:52" x14ac:dyDescent="0.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row>
    <row r="58" spans="1:52" x14ac:dyDescent="0.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row>
    <row r="59" spans="1:52" x14ac:dyDescent="0.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row>
    <row r="60" spans="1:52" x14ac:dyDescent="0.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row>
    <row r="61" spans="1:52" x14ac:dyDescent="0.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row>
    <row r="62" spans="1:52" x14ac:dyDescent="0.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row>
    <row r="63" spans="1:52" x14ac:dyDescent="0.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row>
    <row r="64" spans="1:52" x14ac:dyDescent="0.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row>
    <row r="65" spans="1:52" x14ac:dyDescent="0.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row>
    <row r="66" spans="1:52" x14ac:dyDescent="0.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row>
    <row r="67" spans="1:52" x14ac:dyDescent="0.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row>
    <row r="68" spans="1:52" x14ac:dyDescent="0.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row>
    <row r="69" spans="1:52" x14ac:dyDescent="0.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row>
    <row r="70" spans="1:52" x14ac:dyDescent="0.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row>
    <row r="71" spans="1:52" x14ac:dyDescent="0.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1:52" x14ac:dyDescent="0.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row>
    <row r="73" spans="1:52" x14ac:dyDescent="0.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row>
    <row r="74" spans="1:52" x14ac:dyDescent="0.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row>
    <row r="75" spans="1:52" x14ac:dyDescent="0.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row>
    <row r="76" spans="1:52" x14ac:dyDescent="0.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row>
    <row r="77" spans="1:52" x14ac:dyDescent="0.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row>
    <row r="78" spans="1:52" x14ac:dyDescent="0.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row>
    <row r="79" spans="1:52" x14ac:dyDescent="0.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row>
    <row r="80" spans="1:52" x14ac:dyDescent="0.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row>
    <row r="81" spans="1:52" x14ac:dyDescent="0.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row>
    <row r="82" spans="1:52" x14ac:dyDescent="0.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row>
    <row r="83" spans="1:52" x14ac:dyDescent="0.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row>
    <row r="84" spans="1:52" x14ac:dyDescent="0.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row>
    <row r="85" spans="1:52" x14ac:dyDescent="0.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row>
    <row r="86" spans="1:52" x14ac:dyDescent="0.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row>
    <row r="87" spans="1:52" x14ac:dyDescent="0.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row>
    <row r="88" spans="1:52" x14ac:dyDescent="0.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row>
    <row r="89" spans="1:52" x14ac:dyDescent="0.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row>
    <row r="90" spans="1:52" x14ac:dyDescent="0.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row>
    <row r="91" spans="1:52" x14ac:dyDescent="0.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row>
    <row r="92" spans="1:52" x14ac:dyDescent="0.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row>
    <row r="93" spans="1:52" x14ac:dyDescent="0.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row>
    <row r="94" spans="1:52" x14ac:dyDescent="0.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row>
    <row r="95" spans="1:52" x14ac:dyDescent="0.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row>
    <row r="96" spans="1:52" x14ac:dyDescent="0.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row>
    <row r="97" spans="1:52" x14ac:dyDescent="0.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row>
    <row r="98" spans="1:52" x14ac:dyDescent="0.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row>
    <row r="99" spans="1:52" x14ac:dyDescent="0.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row>
    <row r="100" spans="1:52" x14ac:dyDescent="0.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row>
    <row r="101" spans="1:52" x14ac:dyDescent="0.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row>
    <row r="102" spans="1:52" x14ac:dyDescent="0.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row>
    <row r="103" spans="1:52" x14ac:dyDescent="0.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row>
    <row r="104" spans="1:52" x14ac:dyDescent="0.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row>
    <row r="105" spans="1:52" x14ac:dyDescent="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row>
    <row r="106" spans="1:52" x14ac:dyDescent="0.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row>
    <row r="107" spans="1:52" x14ac:dyDescent="0.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row>
    <row r="108" spans="1:52" x14ac:dyDescent="0.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row>
    <row r="109" spans="1:52" x14ac:dyDescent="0.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row>
    <row r="110" spans="1:52" x14ac:dyDescent="0.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row>
    <row r="111" spans="1:52" x14ac:dyDescent="0.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row>
    <row r="112" spans="1:52" x14ac:dyDescent="0.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row>
    <row r="113" spans="1:52" x14ac:dyDescent="0.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row>
    <row r="114" spans="1:52" x14ac:dyDescent="0.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row>
    <row r="115" spans="1:52" x14ac:dyDescent="0.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row>
    <row r="116" spans="1:52" x14ac:dyDescent="0.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row>
    <row r="117" spans="1:52" x14ac:dyDescent="0.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row>
    <row r="118" spans="1:52" x14ac:dyDescent="0.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row>
    <row r="119" spans="1:52" x14ac:dyDescent="0.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row>
    <row r="120" spans="1:52" x14ac:dyDescent="0.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row>
    <row r="121" spans="1:52" x14ac:dyDescent="0.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row>
    <row r="122" spans="1:52" x14ac:dyDescent="0.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row>
    <row r="123" spans="1:52" x14ac:dyDescent="0.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row>
    <row r="124" spans="1:52" x14ac:dyDescent="0.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row>
    <row r="125" spans="1:52" x14ac:dyDescent="0.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row>
    <row r="126" spans="1:52" x14ac:dyDescent="0.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row>
    <row r="127" spans="1:52" x14ac:dyDescent="0.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row>
    <row r="128" spans="1:52" x14ac:dyDescent="0.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row>
    <row r="129" spans="1:52" x14ac:dyDescent="0.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row>
    <row r="130" spans="1:52" x14ac:dyDescent="0.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row>
    <row r="131" spans="1:52" x14ac:dyDescent="0.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row>
    <row r="132" spans="1:52" x14ac:dyDescent="0.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row>
    <row r="133" spans="1:52" x14ac:dyDescent="0.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row>
    <row r="134" spans="1:52" x14ac:dyDescent="0.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row>
    <row r="135" spans="1:52" x14ac:dyDescent="0.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row>
    <row r="136" spans="1:52" x14ac:dyDescent="0.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row>
    <row r="137" spans="1:52" x14ac:dyDescent="0.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row>
    <row r="138" spans="1:52" x14ac:dyDescent="0.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row>
    <row r="139" spans="1:52" x14ac:dyDescent="0.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row>
    <row r="140" spans="1:52" x14ac:dyDescent="0.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row>
    <row r="141" spans="1:52" x14ac:dyDescent="0.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row>
    <row r="142" spans="1:52" x14ac:dyDescent="0.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row>
    <row r="143" spans="1:52" x14ac:dyDescent="0.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row>
    <row r="144" spans="1:52" x14ac:dyDescent="0.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1:52" x14ac:dyDescent="0.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row>
    <row r="146" spans="1:52" x14ac:dyDescent="0.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row>
    <row r="147" spans="1:52" x14ac:dyDescent="0.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row>
    <row r="148" spans="1:52" x14ac:dyDescent="0.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row>
    <row r="149" spans="1:52" x14ac:dyDescent="0.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row>
    <row r="150" spans="1:52" x14ac:dyDescent="0.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row>
    <row r="151" spans="1:52" x14ac:dyDescent="0.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row>
    <row r="152" spans="1:52" x14ac:dyDescent="0.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row>
    <row r="153" spans="1:52" x14ac:dyDescent="0.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row>
    <row r="154" spans="1:52" x14ac:dyDescent="0.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row>
    <row r="155" spans="1:52" x14ac:dyDescent="0.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row>
    <row r="156" spans="1:52" x14ac:dyDescent="0.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row>
    <row r="157" spans="1:52" x14ac:dyDescent="0.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row>
    <row r="158" spans="1:52" x14ac:dyDescent="0.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row>
    <row r="159" spans="1:52" x14ac:dyDescent="0.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row>
    <row r="160" spans="1:52" x14ac:dyDescent="0.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row>
    <row r="161" spans="1:52" x14ac:dyDescent="0.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row>
    <row r="162" spans="1:52" x14ac:dyDescent="0.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row>
    <row r="163" spans="1:52" x14ac:dyDescent="0.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row>
    <row r="164" spans="1:52" x14ac:dyDescent="0.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row>
    <row r="165" spans="1:52" x14ac:dyDescent="0.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row>
    <row r="166" spans="1:52" x14ac:dyDescent="0.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row>
    <row r="167" spans="1:52" x14ac:dyDescent="0.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row>
    <row r="168" spans="1:52" x14ac:dyDescent="0.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row>
    <row r="169" spans="1:52" x14ac:dyDescent="0.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row>
    <row r="170" spans="1:52" x14ac:dyDescent="0.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row>
    <row r="171" spans="1:52" x14ac:dyDescent="0.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row>
    <row r="172" spans="1:52" x14ac:dyDescent="0.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row>
    <row r="173" spans="1:52" x14ac:dyDescent="0.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row>
    <row r="174" spans="1:52" x14ac:dyDescent="0.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row>
    <row r="175" spans="1:52" x14ac:dyDescent="0.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row>
    <row r="176" spans="1:52" x14ac:dyDescent="0.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row>
    <row r="177" spans="1:52" x14ac:dyDescent="0.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row>
    <row r="178" spans="1:52" x14ac:dyDescent="0.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row>
    <row r="179" spans="1:52" x14ac:dyDescent="0.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row>
    <row r="180" spans="1:52" x14ac:dyDescent="0.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row>
    <row r="181" spans="1:52" x14ac:dyDescent="0.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row>
    <row r="182" spans="1:52" x14ac:dyDescent="0.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row>
    <row r="183" spans="1:52" x14ac:dyDescent="0.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row>
    <row r="184" spans="1:52" x14ac:dyDescent="0.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row>
    <row r="185" spans="1:52" x14ac:dyDescent="0.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row>
    <row r="186" spans="1:52" x14ac:dyDescent="0.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row>
    <row r="187" spans="1:52" x14ac:dyDescent="0.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row>
    <row r="188" spans="1:52" x14ac:dyDescent="0.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row>
    <row r="189" spans="1:52" x14ac:dyDescent="0.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row>
    <row r="190" spans="1:52" x14ac:dyDescent="0.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row>
    <row r="191" spans="1:52" x14ac:dyDescent="0.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row>
    <row r="192" spans="1:52" x14ac:dyDescent="0.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row>
    <row r="193" spans="1:52" x14ac:dyDescent="0.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row>
    <row r="194" spans="1:52" x14ac:dyDescent="0.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row>
    <row r="195" spans="1:52" x14ac:dyDescent="0.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row>
    <row r="196" spans="1:52" x14ac:dyDescent="0.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row>
    <row r="197" spans="1:52" x14ac:dyDescent="0.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row>
    <row r="198" spans="1:52" x14ac:dyDescent="0.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row>
    <row r="199" spans="1:52" x14ac:dyDescent="0.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row>
    <row r="200" spans="1:52" x14ac:dyDescent="0.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row>
    <row r="201" spans="1:52" x14ac:dyDescent="0.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row>
    <row r="202" spans="1:52" x14ac:dyDescent="0.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row>
    <row r="203" spans="1:52" x14ac:dyDescent="0.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row>
    <row r="204" spans="1:52" x14ac:dyDescent="0.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row>
    <row r="205" spans="1:52" x14ac:dyDescent="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row>
    <row r="206" spans="1:52" x14ac:dyDescent="0.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row>
    <row r="207" spans="1:52" x14ac:dyDescent="0.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row>
    <row r="208" spans="1:52" x14ac:dyDescent="0.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row>
    <row r="209" spans="1:52" x14ac:dyDescent="0.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row>
    <row r="210" spans="1:52" x14ac:dyDescent="0.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row>
    <row r="211" spans="1:52" x14ac:dyDescent="0.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row>
    <row r="212" spans="1:52" x14ac:dyDescent="0.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row>
    <row r="213" spans="1:52" x14ac:dyDescent="0.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row>
    <row r="214" spans="1:52" x14ac:dyDescent="0.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row>
    <row r="215" spans="1:52" x14ac:dyDescent="0.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row>
    <row r="216" spans="1:52" x14ac:dyDescent="0.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row>
    <row r="217" spans="1:52" x14ac:dyDescent="0.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row>
    <row r="218" spans="1:52" x14ac:dyDescent="0.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row>
    <row r="219" spans="1:52" x14ac:dyDescent="0.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row>
    <row r="220" spans="1:52" x14ac:dyDescent="0.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row>
    <row r="221" spans="1:52" x14ac:dyDescent="0.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row>
    <row r="222" spans="1:52" x14ac:dyDescent="0.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row>
    <row r="223" spans="1:52" x14ac:dyDescent="0.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row>
    <row r="224" spans="1:52" x14ac:dyDescent="0.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row>
    <row r="225" spans="1:52" x14ac:dyDescent="0.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row>
    <row r="226" spans="1:52" x14ac:dyDescent="0.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row>
    <row r="227" spans="1:52" x14ac:dyDescent="0.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row>
    <row r="228" spans="1:52" x14ac:dyDescent="0.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row>
    <row r="229" spans="1:52" x14ac:dyDescent="0.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row>
    <row r="230" spans="1:52" x14ac:dyDescent="0.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row>
    <row r="231" spans="1:52" x14ac:dyDescent="0.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row>
    <row r="232" spans="1:52" x14ac:dyDescent="0.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row>
    <row r="233" spans="1:52" x14ac:dyDescent="0.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row>
    <row r="234" spans="1:52" x14ac:dyDescent="0.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row>
    <row r="235" spans="1:52" x14ac:dyDescent="0.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row>
    <row r="236" spans="1:52" x14ac:dyDescent="0.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row>
    <row r="237" spans="1:52" x14ac:dyDescent="0.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row>
    <row r="238" spans="1:52" x14ac:dyDescent="0.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row>
    <row r="239" spans="1:52" x14ac:dyDescent="0.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row>
    <row r="240" spans="1:52" x14ac:dyDescent="0.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row>
    <row r="241" spans="1:52" x14ac:dyDescent="0.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row>
    <row r="242" spans="1:52" x14ac:dyDescent="0.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row>
    <row r="243" spans="1:52" x14ac:dyDescent="0.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row>
    <row r="244" spans="1:52" x14ac:dyDescent="0.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row>
    <row r="245" spans="1:52" x14ac:dyDescent="0.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row>
    <row r="246" spans="1:52" x14ac:dyDescent="0.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row>
    <row r="247" spans="1:52" x14ac:dyDescent="0.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row>
    <row r="248" spans="1:52" x14ac:dyDescent="0.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row>
    <row r="249" spans="1:52" x14ac:dyDescent="0.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row>
    <row r="250" spans="1:52" x14ac:dyDescent="0.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row>
    <row r="251" spans="1:52" x14ac:dyDescent="0.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row>
    <row r="252" spans="1:52" x14ac:dyDescent="0.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row>
    <row r="253" spans="1:52" x14ac:dyDescent="0.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row>
    <row r="254" spans="1:52" x14ac:dyDescent="0.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row>
    <row r="255" spans="1:52" x14ac:dyDescent="0.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row>
    <row r="256" spans="1:52" x14ac:dyDescent="0.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row>
    <row r="257" spans="1:52" x14ac:dyDescent="0.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row>
    <row r="258" spans="1:52" x14ac:dyDescent="0.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row>
    <row r="259" spans="1:52" x14ac:dyDescent="0.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row>
    <row r="260" spans="1:52" x14ac:dyDescent="0.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row>
    <row r="261" spans="1:52" x14ac:dyDescent="0.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row>
    <row r="262" spans="1:52" x14ac:dyDescent="0.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row>
    <row r="263" spans="1:52" x14ac:dyDescent="0.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row>
    <row r="264" spans="1:52" x14ac:dyDescent="0.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row>
    <row r="265" spans="1:52" x14ac:dyDescent="0.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row>
    <row r="266" spans="1:52" x14ac:dyDescent="0.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row>
    <row r="267" spans="1:52" x14ac:dyDescent="0.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row>
    <row r="268" spans="1:52" x14ac:dyDescent="0.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row>
    <row r="269" spans="1:52" x14ac:dyDescent="0.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row>
    <row r="270" spans="1:52" x14ac:dyDescent="0.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row>
    <row r="271" spans="1:52" x14ac:dyDescent="0.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row>
    <row r="272" spans="1:52" x14ac:dyDescent="0.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row>
    <row r="273" spans="1:52" x14ac:dyDescent="0.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row>
    <row r="274" spans="1:52" x14ac:dyDescent="0.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row>
    <row r="275" spans="1:52" x14ac:dyDescent="0.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row>
    <row r="276" spans="1:52" x14ac:dyDescent="0.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row>
    <row r="277" spans="1:52" x14ac:dyDescent="0.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row>
    <row r="278" spans="1:52" x14ac:dyDescent="0.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row>
    <row r="279" spans="1:52" x14ac:dyDescent="0.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row>
    <row r="280" spans="1:52" x14ac:dyDescent="0.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row>
    <row r="281" spans="1:52" x14ac:dyDescent="0.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row>
    <row r="282" spans="1:52" x14ac:dyDescent="0.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row>
    <row r="283" spans="1:52" x14ac:dyDescent="0.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row>
    <row r="284" spans="1:52" x14ac:dyDescent="0.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row>
    <row r="285" spans="1:52" x14ac:dyDescent="0.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row>
    <row r="286" spans="1:52" x14ac:dyDescent="0.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row>
    <row r="287" spans="1:52" x14ac:dyDescent="0.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row>
    <row r="288" spans="1:52" x14ac:dyDescent="0.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row>
    <row r="289" spans="1:52" x14ac:dyDescent="0.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row>
    <row r="290" spans="1:52" x14ac:dyDescent="0.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row>
    <row r="291" spans="1:52" x14ac:dyDescent="0.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row>
    <row r="292" spans="1:52" x14ac:dyDescent="0.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row>
    <row r="293" spans="1:52" x14ac:dyDescent="0.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row>
    <row r="294" spans="1:52" x14ac:dyDescent="0.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row>
    <row r="295" spans="1:52" x14ac:dyDescent="0.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row>
    <row r="296" spans="1:52" x14ac:dyDescent="0.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row>
    <row r="297" spans="1:52" x14ac:dyDescent="0.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row>
    <row r="298" spans="1:52" x14ac:dyDescent="0.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row>
    <row r="299" spans="1:52" x14ac:dyDescent="0.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row>
    <row r="300" spans="1:52" x14ac:dyDescent="0.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row>
    <row r="301" spans="1:52" x14ac:dyDescent="0.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row>
    <row r="302" spans="1:52" x14ac:dyDescent="0.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row>
    <row r="303" spans="1:52" x14ac:dyDescent="0.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row>
    <row r="304" spans="1:52" x14ac:dyDescent="0.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row>
    <row r="305" spans="1:52" x14ac:dyDescent="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row>
    <row r="306" spans="1:52" x14ac:dyDescent="0.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row>
    <row r="307" spans="1:52" x14ac:dyDescent="0.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row>
    <row r="308" spans="1:52" x14ac:dyDescent="0.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row>
    <row r="309" spans="1:52" x14ac:dyDescent="0.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row>
    <row r="310" spans="1:52" x14ac:dyDescent="0.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row>
    <row r="311" spans="1:52" x14ac:dyDescent="0.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row>
    <row r="312" spans="1:52" x14ac:dyDescent="0.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row>
    <row r="313" spans="1:52" x14ac:dyDescent="0.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row>
    <row r="314" spans="1:52" x14ac:dyDescent="0.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row>
    <row r="315" spans="1:52" x14ac:dyDescent="0.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row>
    <row r="316" spans="1:52" x14ac:dyDescent="0.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row>
    <row r="317" spans="1:52" x14ac:dyDescent="0.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row>
  </sheetData>
  <sheetProtection algorithmName="SHA-512" hashValue="fTIpkYUD5V1Um47qB7VVpqqQyrkM2ZdPwagTjVVTIH28CcrIOxvYpNS/El5gG3IV4OvG0AVygPBNcXhawxl5BA==" saltValue="MFKb/YjCuwpBcLa3pEzPEg==" spinCount="100000" sheet="1" objects="1" scenarios="1" selectLockedCells="1"/>
  <mergeCells count="1">
    <mergeCell ref="A1:S1"/>
  </mergeCells>
  <pageMargins left="0.7" right="0.7" top="0.75" bottom="0.75" header="0.3" footer="0.3"/>
  <pageSetup paperSize="9" scale="51"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AY63"/>
  <sheetViews>
    <sheetView zoomScale="80" zoomScaleNormal="80" workbookViewId="0">
      <selection activeCell="D9" sqref="D9"/>
    </sheetView>
  </sheetViews>
  <sheetFormatPr defaultRowHeight="14.35" x14ac:dyDescent="0.5"/>
  <cols>
    <col min="1" max="1" width="1.9375" customWidth="1"/>
    <col min="2" max="2" width="2.05859375" customWidth="1"/>
    <col min="3" max="3" width="24.05859375" customWidth="1"/>
    <col min="4" max="4" width="19.41015625" customWidth="1"/>
    <col min="5" max="5" width="6.9375" customWidth="1"/>
    <col min="6" max="6" width="1.1171875" customWidth="1"/>
    <col min="7" max="7" width="7.1171875" customWidth="1"/>
    <col min="8" max="8" width="21.5859375" style="1" customWidth="1"/>
    <col min="9" max="9" width="1.1171875" customWidth="1"/>
    <col min="10" max="10" width="7.1171875" customWidth="1"/>
    <col min="11" max="11" width="21.5859375" style="1" customWidth="1"/>
    <col min="12" max="12" width="1.1171875" customWidth="1"/>
    <col min="13" max="13" width="7.1171875" style="1" customWidth="1"/>
    <col min="14" max="14" width="21.5859375" style="1" customWidth="1"/>
    <col min="15" max="15" width="1.05859375" style="1" customWidth="1"/>
    <col min="16" max="16" width="7.1171875" style="1" customWidth="1"/>
    <col min="17" max="17" width="21.5859375" style="1" customWidth="1"/>
    <col min="18" max="18" width="1.05859375" style="1" customWidth="1"/>
    <col min="19" max="19" width="15.05859375" style="1" customWidth="1"/>
    <col min="20" max="20" width="16.87890625" style="1" customWidth="1"/>
    <col min="21" max="21" width="1.1171875" style="1" customWidth="1"/>
    <col min="22" max="22" width="23.17578125" style="1" customWidth="1"/>
    <col min="23" max="23" width="16.17578125" style="1" customWidth="1"/>
    <col min="24" max="24" width="8.8203125" style="1" customWidth="1"/>
    <col min="25" max="25" width="2.05859375" style="1" customWidth="1"/>
    <col min="26" max="26" width="1.9375" style="1" customWidth="1"/>
    <col min="27" max="27" width="3.234375" style="1" customWidth="1"/>
    <col min="28" max="28" width="12.1171875" customWidth="1"/>
    <col min="29" max="29" width="13.234375" customWidth="1"/>
    <col min="30" max="30" width="9.05859375" customWidth="1"/>
    <col min="31" max="31" width="3.46875" customWidth="1"/>
    <col min="32" max="32" width="3.52734375" style="1" customWidth="1"/>
    <col min="33" max="33" width="3.3515625" style="1" customWidth="1"/>
    <col min="34" max="34" width="6.87890625" customWidth="1"/>
    <col min="35" max="35" width="5" customWidth="1"/>
    <col min="36" max="36" width="15.05859375" customWidth="1"/>
    <col min="37" max="37" width="15.3515625" customWidth="1"/>
    <col min="38" max="38" width="26.46875" customWidth="1"/>
    <col min="39" max="39" width="27.46875" customWidth="1"/>
    <col min="40" max="40" width="29.17578125" customWidth="1"/>
    <col min="41" max="41" width="28.3515625" customWidth="1"/>
    <col min="42" max="42" width="10.5859375" customWidth="1"/>
    <col min="43" max="43" width="5.52734375" customWidth="1"/>
    <col min="44" max="44" width="17.1171875" customWidth="1"/>
    <col min="45" max="45" width="23.46875" customWidth="1"/>
    <col min="46" max="50" width="28.703125" customWidth="1"/>
  </cols>
  <sheetData>
    <row r="1" spans="1:51" ht="11.7" customHeight="1" thickBot="1" x14ac:dyDescent="0.55000000000000004">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1"/>
      <c r="AN1" s="1"/>
      <c r="AO1" s="1"/>
      <c r="AP1" s="1"/>
      <c r="AQ1" s="1"/>
      <c r="AR1" s="1"/>
      <c r="AS1" s="1"/>
      <c r="AT1" s="1"/>
      <c r="AU1" s="1"/>
      <c r="AV1" s="1"/>
      <c r="AW1" s="1"/>
      <c r="AX1" s="1"/>
      <c r="AY1" s="1"/>
    </row>
    <row r="2" spans="1:51" ht="28.95" customHeight="1" thickTop="1" x14ac:dyDescent="0.5">
      <c r="A2" s="5"/>
      <c r="B2" s="184"/>
      <c r="C2" s="185"/>
      <c r="D2" s="185"/>
      <c r="E2" s="185"/>
      <c r="F2" s="185"/>
      <c r="G2" s="347" t="s">
        <v>261</v>
      </c>
      <c r="H2" s="347"/>
      <c r="I2" s="347"/>
      <c r="J2" s="347"/>
      <c r="K2" s="347"/>
      <c r="L2" s="347"/>
      <c r="M2" s="347"/>
      <c r="N2" s="347"/>
      <c r="O2" s="347"/>
      <c r="P2" s="347"/>
      <c r="Q2" s="347"/>
      <c r="R2" s="185"/>
      <c r="S2" s="185"/>
      <c r="T2" s="185"/>
      <c r="U2" s="185"/>
      <c r="V2" s="185"/>
      <c r="W2" s="185"/>
      <c r="X2" s="185"/>
      <c r="Y2" s="186"/>
      <c r="Z2" s="5"/>
      <c r="AA2" s="5"/>
      <c r="AB2" s="5"/>
      <c r="AC2" s="5"/>
      <c r="AD2" s="5"/>
      <c r="AE2" s="5"/>
      <c r="AF2" s="5"/>
      <c r="AG2" s="5"/>
      <c r="AH2" s="5"/>
      <c r="AI2" s="5"/>
      <c r="AJ2" s="5"/>
      <c r="AK2" s="5"/>
      <c r="AL2" s="5"/>
      <c r="AM2" s="1"/>
      <c r="AN2" s="1"/>
      <c r="AO2" s="1"/>
      <c r="AP2" s="1"/>
      <c r="AQ2" s="1"/>
      <c r="AR2" s="1"/>
      <c r="AS2" s="1"/>
      <c r="AT2" s="1"/>
      <c r="AU2" s="1"/>
      <c r="AV2" s="1"/>
      <c r="AW2" s="1"/>
      <c r="AX2" s="1"/>
      <c r="AY2" s="1"/>
    </row>
    <row r="3" spans="1:51" s="1" customFormat="1" ht="11.7" customHeight="1" thickBot="1" x14ac:dyDescent="0.55000000000000004">
      <c r="A3" s="5"/>
      <c r="B3" s="187"/>
      <c r="C3" s="188"/>
      <c r="D3" s="188"/>
      <c r="E3" s="188"/>
      <c r="F3" s="188"/>
      <c r="G3" s="188"/>
      <c r="H3" s="188"/>
      <c r="I3" s="188"/>
      <c r="J3" s="188"/>
      <c r="K3" s="188"/>
      <c r="L3" s="188"/>
      <c r="M3" s="188"/>
      <c r="N3" s="188"/>
      <c r="O3" s="188"/>
      <c r="P3" s="188"/>
      <c r="Q3" s="188"/>
      <c r="R3" s="188"/>
      <c r="S3" s="188"/>
      <c r="T3" s="188"/>
      <c r="U3" s="188"/>
      <c r="V3" s="188"/>
      <c r="W3" s="188"/>
      <c r="X3" s="188"/>
      <c r="Y3" s="189"/>
      <c r="Z3" s="5"/>
      <c r="AA3" s="5"/>
      <c r="AB3" s="5"/>
      <c r="AC3" s="5"/>
      <c r="AD3" s="5"/>
      <c r="AE3" s="5"/>
      <c r="AF3" s="5"/>
      <c r="AG3" s="5"/>
      <c r="AH3" s="5"/>
      <c r="AI3" s="5"/>
      <c r="AJ3" s="5"/>
      <c r="AK3" s="5"/>
      <c r="AL3" s="5"/>
    </row>
    <row r="4" spans="1:51" s="1" customFormat="1" ht="23.25" customHeight="1" thickBot="1" x14ac:dyDescent="0.55000000000000004">
      <c r="A4" s="5"/>
      <c r="B4" s="2"/>
      <c r="C4" s="42"/>
      <c r="D4" s="40"/>
      <c r="E4" s="40"/>
      <c r="F4" s="40"/>
      <c r="G4" s="354" t="s">
        <v>136</v>
      </c>
      <c r="H4" s="355"/>
      <c r="I4" s="40"/>
      <c r="J4" s="354" t="s">
        <v>134</v>
      </c>
      <c r="K4" s="355"/>
      <c r="L4" s="40"/>
      <c r="M4" s="354" t="s">
        <v>133</v>
      </c>
      <c r="N4" s="355"/>
      <c r="O4" s="40"/>
      <c r="P4" s="354" t="s">
        <v>135</v>
      </c>
      <c r="Q4" s="355"/>
      <c r="R4" s="40"/>
      <c r="S4" s="40"/>
      <c r="T4" s="40"/>
      <c r="U4" s="40"/>
      <c r="V4" s="40"/>
      <c r="W4" s="40"/>
      <c r="X4" s="40"/>
      <c r="Y4" s="41"/>
      <c r="Z4" s="5"/>
      <c r="AA4" s="5"/>
      <c r="AB4" s="5"/>
      <c r="AC4" s="5"/>
      <c r="AD4" s="5"/>
      <c r="AE4" s="5"/>
      <c r="AF4" s="5"/>
      <c r="AG4" s="5"/>
      <c r="AH4" s="5"/>
      <c r="AI4" s="5"/>
      <c r="AJ4" s="5"/>
      <c r="AK4" s="5"/>
      <c r="AL4" s="5"/>
    </row>
    <row r="5" spans="1:51" s="1" customFormat="1" ht="7.95" customHeight="1" thickBot="1" x14ac:dyDescent="0.55000000000000004">
      <c r="A5" s="5"/>
      <c r="B5" s="2"/>
      <c r="C5" s="42"/>
      <c r="D5" s="40"/>
      <c r="E5" s="40"/>
      <c r="F5" s="40"/>
      <c r="G5" s="40"/>
      <c r="H5" s="40"/>
      <c r="I5" s="40"/>
      <c r="J5" s="40"/>
      <c r="K5" s="40"/>
      <c r="L5" s="40"/>
      <c r="M5" s="40"/>
      <c r="N5" s="40"/>
      <c r="O5" s="40"/>
      <c r="P5" s="40"/>
      <c r="Q5" s="40"/>
      <c r="R5" s="40"/>
      <c r="S5" s="40"/>
      <c r="T5" s="40"/>
      <c r="U5" s="40"/>
      <c r="V5" s="40"/>
      <c r="W5" s="40"/>
      <c r="X5" s="40"/>
      <c r="Y5" s="41"/>
      <c r="Z5" s="5"/>
      <c r="AA5" s="5"/>
      <c r="AB5" s="5"/>
      <c r="AC5" s="5"/>
      <c r="AD5" s="5"/>
      <c r="AE5" s="5"/>
      <c r="AF5" s="5"/>
      <c r="AG5" s="5"/>
      <c r="AH5" s="5"/>
      <c r="AI5" s="5"/>
      <c r="AJ5" s="5"/>
      <c r="AK5" s="5"/>
      <c r="AL5" s="5"/>
    </row>
    <row r="6" spans="1:51" ht="19.95" customHeight="1" thickTop="1" thickBot="1" x14ac:dyDescent="0.55000000000000004">
      <c r="A6" s="5"/>
      <c r="B6" s="2"/>
      <c r="C6" s="350" t="s">
        <v>75</v>
      </c>
      <c r="D6" s="351"/>
      <c r="E6" s="351"/>
      <c r="F6" s="351"/>
      <c r="G6" s="351"/>
      <c r="H6" s="351"/>
      <c r="I6" s="351"/>
      <c r="J6" s="351"/>
      <c r="K6" s="351"/>
      <c r="L6" s="351"/>
      <c r="M6" s="351"/>
      <c r="N6" s="351"/>
      <c r="O6" s="351"/>
      <c r="P6" s="351"/>
      <c r="Q6" s="352"/>
      <c r="R6" s="3"/>
      <c r="S6" s="348" t="s">
        <v>121</v>
      </c>
      <c r="T6" s="349"/>
      <c r="U6" s="3"/>
      <c r="V6" s="348" t="s">
        <v>76</v>
      </c>
      <c r="W6" s="353"/>
      <c r="X6" s="349"/>
      <c r="Y6" s="4"/>
      <c r="Z6" s="5"/>
      <c r="AA6" s="5"/>
      <c r="AB6" s="5"/>
      <c r="AC6" s="5"/>
      <c r="AD6" s="5"/>
      <c r="AE6" s="5"/>
      <c r="AF6" s="5"/>
      <c r="AG6" s="5"/>
      <c r="AH6" s="5"/>
      <c r="AI6" s="5"/>
      <c r="AJ6" s="5"/>
      <c r="AK6" s="5"/>
      <c r="AL6" s="5"/>
      <c r="AM6" s="1"/>
      <c r="AN6" s="1"/>
      <c r="AO6" s="1"/>
      <c r="AP6" s="1"/>
      <c r="AQ6" s="1"/>
      <c r="AR6" s="1"/>
      <c r="AS6" s="1"/>
      <c r="AT6" s="1"/>
      <c r="AU6" s="1"/>
      <c r="AV6" s="1"/>
      <c r="AW6" s="1"/>
      <c r="AX6" s="1"/>
      <c r="AY6" s="1"/>
    </row>
    <row r="7" spans="1:51" ht="15" customHeight="1" thickTop="1" x14ac:dyDescent="0.5">
      <c r="A7" s="5"/>
      <c r="B7" s="2"/>
      <c r="C7" s="83" t="s">
        <v>157</v>
      </c>
      <c r="D7" s="225" t="s">
        <v>165</v>
      </c>
      <c r="E7" s="141"/>
      <c r="F7" s="164"/>
      <c r="G7" s="181" t="s">
        <v>141</v>
      </c>
      <c r="H7" s="207" t="str">
        <f>'Price list'!B5</f>
        <v>9-30-11 (Mesz)</v>
      </c>
      <c r="I7" s="164"/>
      <c r="J7" s="180" t="s">
        <v>141</v>
      </c>
      <c r="K7" s="182" t="str">
        <f>'Price list'!B27</f>
        <v>Velpar DF</v>
      </c>
      <c r="L7" s="6"/>
      <c r="M7" s="180" t="s">
        <v>141</v>
      </c>
      <c r="N7" s="209" t="str">
        <f>'Price list'!B49</f>
        <v>Bravo Zn</v>
      </c>
      <c r="O7" s="6"/>
      <c r="P7" s="180" t="s">
        <v>141</v>
      </c>
      <c r="Q7" s="211" t="str">
        <f>'Price list'!B71</f>
        <v>Imidan 70 WP</v>
      </c>
      <c r="R7" s="3"/>
      <c r="S7" s="83" t="str">
        <f>C14</f>
        <v>BB producers dues</v>
      </c>
      <c r="T7" s="84">
        <f>'Price list'!BI4</f>
        <v>650</v>
      </c>
      <c r="U7" s="3"/>
      <c r="V7" s="89" t="s">
        <v>63</v>
      </c>
      <c r="W7" s="90">
        <f>(D12)*((100-D13)/100)</f>
        <v>0.8</v>
      </c>
      <c r="X7" s="91" t="s">
        <v>10</v>
      </c>
      <c r="Y7" s="4"/>
      <c r="Z7" s="5"/>
      <c r="AA7" s="5"/>
      <c r="AB7" s="5"/>
      <c r="AC7" s="5"/>
      <c r="AD7" s="5"/>
      <c r="AE7" s="5"/>
      <c r="AF7" s="5"/>
      <c r="AG7" s="5"/>
      <c r="AH7" s="5"/>
      <c r="AI7" s="5"/>
      <c r="AJ7" s="5"/>
      <c r="AK7" s="5"/>
      <c r="AL7" s="5"/>
      <c r="AM7" s="1"/>
      <c r="AN7" s="1"/>
      <c r="AO7" s="1"/>
      <c r="AP7" s="1"/>
      <c r="AQ7" s="1"/>
      <c r="AR7" s="1"/>
      <c r="AS7" s="1"/>
      <c r="AT7" s="1"/>
      <c r="AU7" s="1"/>
      <c r="AV7" s="1"/>
      <c r="AW7" s="1"/>
      <c r="AX7" s="1"/>
      <c r="AY7" s="1"/>
    </row>
    <row r="8" spans="1:51" ht="15" customHeight="1" x14ac:dyDescent="0.5">
      <c r="A8" s="5"/>
      <c r="B8" s="2"/>
      <c r="C8" s="85" t="s">
        <v>158</v>
      </c>
      <c r="D8" s="227" t="s">
        <v>257</v>
      </c>
      <c r="E8" s="145"/>
      <c r="F8" s="164"/>
      <c r="G8" s="180" t="s">
        <v>141</v>
      </c>
      <c r="H8" s="208" t="str">
        <f>'Price list'!B6</f>
        <v>12-22-15 (Mesz)</v>
      </c>
      <c r="I8" s="164"/>
      <c r="J8" s="180" t="s">
        <v>141</v>
      </c>
      <c r="K8" s="183" t="str">
        <f>'Price list'!B28</f>
        <v>Spartan 75 DF</v>
      </c>
      <c r="L8" s="6"/>
      <c r="M8" s="180" t="s">
        <v>141</v>
      </c>
      <c r="N8" s="210" t="str">
        <f>'Price list'!B50</f>
        <v>Proline 480 SC</v>
      </c>
      <c r="O8" s="6"/>
      <c r="P8" s="180" t="s">
        <v>141</v>
      </c>
      <c r="Q8" s="212" t="str">
        <f>'Price list'!B72</f>
        <v>Assail 70 WP</v>
      </c>
      <c r="R8" s="3"/>
      <c r="S8" s="85" t="s">
        <v>65</v>
      </c>
      <c r="T8" s="86">
        <f>'Price list'!BI5</f>
        <v>0</v>
      </c>
      <c r="U8" s="3"/>
      <c r="V8" s="89" t="s">
        <v>21</v>
      </c>
      <c r="W8" s="92">
        <f>D9</f>
        <v>10</v>
      </c>
      <c r="X8" s="91" t="s">
        <v>14</v>
      </c>
      <c r="Y8" s="4"/>
      <c r="Z8" s="5"/>
      <c r="AA8" s="5"/>
      <c r="AB8" s="5"/>
      <c r="AC8" s="5"/>
      <c r="AD8" s="5"/>
      <c r="AE8" s="5"/>
      <c r="AF8" s="5"/>
      <c r="AG8" s="5"/>
      <c r="AH8" s="5"/>
      <c r="AI8" s="5"/>
      <c r="AJ8" s="5"/>
      <c r="AK8" s="5"/>
      <c r="AL8" s="5"/>
      <c r="AM8" s="1"/>
      <c r="AN8" s="1"/>
      <c r="AO8" s="1"/>
      <c r="AP8" s="1"/>
      <c r="AQ8" s="1"/>
      <c r="AR8" s="1"/>
      <c r="AS8" s="1"/>
      <c r="AT8" s="1"/>
      <c r="AU8" s="1"/>
      <c r="AV8" s="1"/>
      <c r="AW8" s="1"/>
      <c r="AX8" s="1"/>
      <c r="AY8" s="1"/>
    </row>
    <row r="9" spans="1:51" ht="15" customHeight="1" x14ac:dyDescent="0.5">
      <c r="A9" s="5"/>
      <c r="B9" s="2"/>
      <c r="C9" s="72" t="s">
        <v>13</v>
      </c>
      <c r="D9" s="73">
        <v>10</v>
      </c>
      <c r="E9" s="74" t="s">
        <v>14</v>
      </c>
      <c r="F9" s="164"/>
      <c r="G9" s="180" t="s">
        <v>141</v>
      </c>
      <c r="H9" s="208" t="str">
        <f>'Price list'!B7</f>
        <v>11-52-0 (MAP)</v>
      </c>
      <c r="I9" s="164"/>
      <c r="J9" s="180" t="s">
        <v>141</v>
      </c>
      <c r="K9" s="183" t="str">
        <f>'Price list'!B29</f>
        <v>Ultim Grande DF</v>
      </c>
      <c r="L9" s="6"/>
      <c r="M9" s="180" t="s">
        <v>141</v>
      </c>
      <c r="N9" s="210" t="str">
        <f>'Price list'!B51</f>
        <v>Tilt 250 E</v>
      </c>
      <c r="O9" s="6"/>
      <c r="P9" s="180" t="s">
        <v>141</v>
      </c>
      <c r="Q9" s="212" t="str">
        <f>'Price list'!B73</f>
        <v>Decis EC 100</v>
      </c>
      <c r="R9" s="3"/>
      <c r="S9" s="85" t="s">
        <v>227</v>
      </c>
      <c r="T9" s="86">
        <f>'Price list'!BI6</f>
        <v>0</v>
      </c>
      <c r="U9" s="3"/>
      <c r="V9" s="85" t="s">
        <v>22</v>
      </c>
      <c r="W9" s="93">
        <f>D9*(D10/100)</f>
        <v>7.5</v>
      </c>
      <c r="X9" s="94" t="s">
        <v>14</v>
      </c>
      <c r="Y9" s="4"/>
      <c r="Z9" s="5"/>
      <c r="AA9" s="5"/>
      <c r="AB9" s="5"/>
      <c r="AC9" s="5"/>
      <c r="AD9" s="5"/>
      <c r="AE9" s="5"/>
      <c r="AF9" s="5"/>
      <c r="AG9" s="5"/>
      <c r="AH9" s="5"/>
      <c r="AI9" s="5"/>
      <c r="AJ9" s="5"/>
      <c r="AK9" s="5"/>
      <c r="AL9" s="5"/>
      <c r="AM9" s="1"/>
      <c r="AN9" s="1"/>
      <c r="AO9" s="1"/>
      <c r="AP9" s="1"/>
      <c r="AQ9" s="1"/>
      <c r="AR9" s="1"/>
      <c r="AS9" s="1"/>
      <c r="AT9" s="1"/>
      <c r="AU9" s="1"/>
      <c r="AV9" s="1"/>
      <c r="AW9" s="1"/>
      <c r="AX9" s="1"/>
      <c r="AY9" s="1"/>
    </row>
    <row r="10" spans="1:51" ht="15" customHeight="1" x14ac:dyDescent="0.5">
      <c r="A10" s="5"/>
      <c r="B10" s="2"/>
      <c r="C10" s="75" t="s">
        <v>15</v>
      </c>
      <c r="D10" s="76">
        <v>75</v>
      </c>
      <c r="E10" s="77" t="s">
        <v>16</v>
      </c>
      <c r="F10" s="164"/>
      <c r="G10" s="180" t="s">
        <v>141</v>
      </c>
      <c r="H10" s="208" t="str">
        <f>'Price list'!B8</f>
        <v>18-46-0 (DAP)</v>
      </c>
      <c r="I10" s="164"/>
      <c r="J10" s="180" t="s">
        <v>141</v>
      </c>
      <c r="K10" s="183" t="str">
        <f>'Price list'!B30</f>
        <v>Sinbar WDG</v>
      </c>
      <c r="L10" s="6"/>
      <c r="M10" s="180" t="s">
        <v>141</v>
      </c>
      <c r="N10" s="210" t="str">
        <f>'Price list'!B52</f>
        <v>Allegro 500 F</v>
      </c>
      <c r="O10" s="6"/>
      <c r="P10" s="180" t="s">
        <v>141</v>
      </c>
      <c r="Q10" s="212" t="str">
        <f>'Price list'!B74</f>
        <v>Delegate WG</v>
      </c>
      <c r="R10" s="3"/>
      <c r="S10" s="85" t="s">
        <v>229</v>
      </c>
      <c r="T10" s="86">
        <f>'Price list'!BI7</f>
        <v>0</v>
      </c>
      <c r="U10" s="3"/>
      <c r="V10" s="85" t="s">
        <v>23</v>
      </c>
      <c r="W10" s="93">
        <f>D9*(100-D10)/100</f>
        <v>2.5</v>
      </c>
      <c r="X10" s="94" t="s">
        <v>14</v>
      </c>
      <c r="Y10" s="4"/>
      <c r="Z10" s="5"/>
      <c r="AA10" s="5"/>
      <c r="AB10" s="5"/>
      <c r="AC10" s="5"/>
      <c r="AD10" s="5"/>
      <c r="AE10" s="5"/>
      <c r="AF10" s="5"/>
      <c r="AG10" s="5"/>
      <c r="AH10" s="5"/>
      <c r="AI10" s="5"/>
      <c r="AJ10" s="5"/>
      <c r="AK10" s="5"/>
      <c r="AL10" s="5"/>
      <c r="AM10" s="1"/>
      <c r="AN10" s="1"/>
      <c r="AO10" s="1"/>
      <c r="AP10" s="1"/>
      <c r="AQ10" s="1"/>
      <c r="AR10" s="1"/>
      <c r="AS10" s="1"/>
      <c r="AT10" s="1"/>
      <c r="AU10" s="1"/>
      <c r="AV10" s="1"/>
      <c r="AW10" s="1"/>
      <c r="AX10" s="1"/>
      <c r="AY10" s="1"/>
    </row>
    <row r="11" spans="1:51" ht="15" customHeight="1" x14ac:dyDescent="0.5">
      <c r="A11" s="5"/>
      <c r="B11" s="2"/>
      <c r="C11" s="75" t="s">
        <v>17</v>
      </c>
      <c r="D11" s="76">
        <v>6500</v>
      </c>
      <c r="E11" s="77" t="s">
        <v>72</v>
      </c>
      <c r="F11" s="164"/>
      <c r="G11" s="180" t="s">
        <v>141</v>
      </c>
      <c r="H11" s="208" t="str">
        <f>'Price list'!B9</f>
        <v>Calcium (foliar)</v>
      </c>
      <c r="I11" s="164"/>
      <c r="J11" s="180" t="s">
        <v>141</v>
      </c>
      <c r="K11" s="183" t="str">
        <f>'Price list'!B31</f>
        <v>Venture L</v>
      </c>
      <c r="L11" s="6"/>
      <c r="M11" s="180" t="s">
        <v>141</v>
      </c>
      <c r="N11" s="210" t="str">
        <f>'Price list'!B53</f>
        <v>Captan 80 WSP</v>
      </c>
      <c r="O11" s="6"/>
      <c r="P11" s="180" t="s">
        <v>141</v>
      </c>
      <c r="Q11" s="212" t="str">
        <f>'Price list'!B75</f>
        <v>Success 480 SC</v>
      </c>
      <c r="R11" s="3"/>
      <c r="S11" s="85" t="s">
        <v>228</v>
      </c>
      <c r="T11" s="86">
        <f>'Price list'!BI8</f>
        <v>0</v>
      </c>
      <c r="U11" s="3"/>
      <c r="V11" s="85" t="s">
        <v>35</v>
      </c>
      <c r="W11" s="95">
        <f>D11</f>
        <v>6500</v>
      </c>
      <c r="X11" s="94" t="s">
        <v>72</v>
      </c>
      <c r="Y11" s="4"/>
      <c r="Z11" s="5"/>
      <c r="AA11" s="5"/>
      <c r="AB11" s="5"/>
      <c r="AC11" s="5"/>
      <c r="AD11" s="5"/>
      <c r="AE11" s="5"/>
      <c r="AF11" s="5"/>
      <c r="AG11" s="5"/>
      <c r="AH11" s="5"/>
      <c r="AI11" s="5"/>
      <c r="AJ11" s="5"/>
      <c r="AK11" s="5"/>
      <c r="AL11" s="5"/>
      <c r="AM11" s="1"/>
      <c r="AN11" s="1"/>
      <c r="AO11" s="1"/>
      <c r="AP11" s="1"/>
      <c r="AQ11" s="1"/>
      <c r="AR11" s="1"/>
      <c r="AS11" s="1"/>
      <c r="AT11" s="1"/>
      <c r="AU11" s="1"/>
      <c r="AV11" s="1"/>
      <c r="AW11" s="1"/>
      <c r="AX11" s="1"/>
      <c r="AY11" s="1"/>
    </row>
    <row r="12" spans="1:51" ht="15" customHeight="1" x14ac:dyDescent="0.5">
      <c r="A12" s="5"/>
      <c r="B12" s="2"/>
      <c r="C12" s="75" t="s">
        <v>58</v>
      </c>
      <c r="D12" s="78">
        <v>0.8</v>
      </c>
      <c r="E12" s="77" t="s">
        <v>10</v>
      </c>
      <c r="F12" s="164"/>
      <c r="G12" s="180" t="s">
        <v>141</v>
      </c>
      <c r="H12" s="208" t="str">
        <f>'Price list'!B10</f>
        <v>Zinc (foliar)</v>
      </c>
      <c r="I12" s="164"/>
      <c r="J12" s="180" t="s">
        <v>141</v>
      </c>
      <c r="K12" s="183" t="str">
        <f>'Price list'!B32</f>
        <v>Poast Ultra</v>
      </c>
      <c r="L12" s="6"/>
      <c r="M12" s="180" t="s">
        <v>141</v>
      </c>
      <c r="N12" s="210" t="str">
        <f>'Price list'!B54</f>
        <v>Pivot 418</v>
      </c>
      <c r="O12" s="6"/>
      <c r="P12" s="180" t="s">
        <v>141</v>
      </c>
      <c r="Q12" s="212" t="str">
        <f>'Price list'!B76</f>
        <v>Sevin XLR</v>
      </c>
      <c r="R12" s="3"/>
      <c r="S12" s="216" t="s">
        <v>156</v>
      </c>
      <c r="T12" s="86">
        <f>'Price list'!BI9</f>
        <v>0</v>
      </c>
      <c r="U12" s="3"/>
      <c r="V12" s="85" t="s">
        <v>34</v>
      </c>
      <c r="W12" s="95">
        <f>(D11*D9)/W9</f>
        <v>8666.6666666666661</v>
      </c>
      <c r="X12" s="94" t="s">
        <v>72</v>
      </c>
      <c r="Y12" s="4"/>
      <c r="Z12" s="5"/>
      <c r="AA12" s="5"/>
      <c r="AB12" s="5"/>
      <c r="AC12" s="5"/>
      <c r="AD12" s="5"/>
      <c r="AE12" s="5"/>
      <c r="AF12" s="5"/>
      <c r="AG12" s="5"/>
      <c r="AH12" s="5"/>
      <c r="AI12" s="5"/>
      <c r="AJ12" s="5"/>
      <c r="AK12" s="5"/>
      <c r="AL12" s="5"/>
      <c r="AM12" s="1"/>
      <c r="AN12" s="1"/>
      <c r="AO12" s="1"/>
      <c r="AP12" s="1"/>
      <c r="AQ12" s="1"/>
      <c r="AR12" s="1"/>
      <c r="AS12" s="1"/>
      <c r="AT12" s="1"/>
      <c r="AU12" s="1"/>
      <c r="AV12" s="1"/>
      <c r="AW12" s="1"/>
      <c r="AX12" s="1"/>
      <c r="AY12" s="1"/>
    </row>
    <row r="13" spans="1:51" ht="15" customHeight="1" x14ac:dyDescent="0.5">
      <c r="A13" s="5"/>
      <c r="B13" s="2"/>
      <c r="C13" s="75" t="s">
        <v>66</v>
      </c>
      <c r="D13" s="79">
        <v>0</v>
      </c>
      <c r="E13" s="77" t="s">
        <v>16</v>
      </c>
      <c r="F13" s="164"/>
      <c r="G13" s="180" t="s">
        <v>141</v>
      </c>
      <c r="H13" s="208" t="str">
        <f>'Price list'!B11</f>
        <v>Boron (foliar)</v>
      </c>
      <c r="I13" s="164"/>
      <c r="J13" s="180" t="s">
        <v>141</v>
      </c>
      <c r="K13" s="183" t="str">
        <f>'Price list'!B33</f>
        <v>Merge</v>
      </c>
      <c r="L13" s="6"/>
      <c r="M13" s="180" t="s">
        <v>141</v>
      </c>
      <c r="N13" s="210" t="str">
        <f>'Price list'!B55</f>
        <v>Fontellis</v>
      </c>
      <c r="O13" s="6"/>
      <c r="P13" s="180" t="s">
        <v>141</v>
      </c>
      <c r="Q13" s="212" t="str">
        <f>'Price list'!B77</f>
        <v>Cormoran</v>
      </c>
      <c r="R13" s="3"/>
      <c r="S13" s="216" t="s">
        <v>153</v>
      </c>
      <c r="T13" s="86">
        <f>'Price list'!BI10</f>
        <v>0</v>
      </c>
      <c r="U13" s="3"/>
      <c r="V13" s="85" t="s">
        <v>49</v>
      </c>
      <c r="W13" s="95">
        <f>D11*D9</f>
        <v>65000</v>
      </c>
      <c r="X13" s="94" t="s">
        <v>71</v>
      </c>
      <c r="Y13" s="4"/>
      <c r="Z13" s="5"/>
      <c r="AA13" s="5"/>
      <c r="AB13" s="5"/>
      <c r="AC13" s="5"/>
      <c r="AD13" s="5"/>
      <c r="AE13" s="5"/>
      <c r="AF13" s="5"/>
      <c r="AG13" s="5"/>
      <c r="AH13" s="5"/>
      <c r="AI13" s="5"/>
      <c r="AJ13" s="5"/>
      <c r="AK13" s="5"/>
      <c r="AL13" s="5"/>
      <c r="AM13" s="1"/>
      <c r="AN13" s="1"/>
      <c r="AO13" s="1"/>
      <c r="AP13" s="1"/>
      <c r="AQ13" s="1"/>
      <c r="AR13" s="1"/>
      <c r="AS13" s="1"/>
      <c r="AT13" s="1"/>
      <c r="AU13" s="1"/>
      <c r="AV13" s="1"/>
      <c r="AW13" s="1"/>
      <c r="AX13" s="1"/>
      <c r="AY13" s="1"/>
    </row>
    <row r="14" spans="1:51" ht="15" customHeight="1" x14ac:dyDescent="0.5">
      <c r="A14" s="5"/>
      <c r="B14" s="2"/>
      <c r="C14" s="75" t="str">
        <f>'Price list'!AJ4</f>
        <v>BB producers dues</v>
      </c>
      <c r="D14" s="274">
        <v>0.01</v>
      </c>
      <c r="E14" s="77" t="s">
        <v>10</v>
      </c>
      <c r="F14" s="164"/>
      <c r="G14" s="180" t="s">
        <v>141</v>
      </c>
      <c r="H14" s="208" t="str">
        <f>'Price list'!B12</f>
        <v>Iron (foliar)</v>
      </c>
      <c r="I14" s="164"/>
      <c r="J14" s="180" t="s">
        <v>141</v>
      </c>
      <c r="K14" s="183" t="str">
        <f>'Price list'!B34</f>
        <v>Option 2.25 OD</v>
      </c>
      <c r="L14" s="6"/>
      <c r="M14" s="180" t="s">
        <v>141</v>
      </c>
      <c r="N14" s="210" t="str">
        <f>'Price list'!B56</f>
        <v>Quilt</v>
      </c>
      <c r="O14" s="6"/>
      <c r="P14" s="180" t="s">
        <v>141</v>
      </c>
      <c r="Q14" s="212" t="str">
        <f>'Price list'!B78</f>
        <v>Malathion 85 EC</v>
      </c>
      <c r="R14" s="3"/>
      <c r="S14" s="216" t="s">
        <v>154</v>
      </c>
      <c r="T14" s="86">
        <f>'Price list'!BI11</f>
        <v>0</v>
      </c>
      <c r="U14" s="3"/>
      <c r="V14" s="85" t="s">
        <v>62</v>
      </c>
      <c r="W14" s="96">
        <f>('Price list'!BE17*(100-D10)/100)+('Price list'!BE18*(100-D10)/100)+('Price list'!BE19*(100-D10)/100)+('Price list'!BE20*(100-D10)/100)</f>
        <v>0</v>
      </c>
      <c r="X14" s="94" t="s">
        <v>9</v>
      </c>
      <c r="Y14" s="4"/>
      <c r="Z14" s="5"/>
      <c r="AA14" s="5"/>
      <c r="AB14" s="5"/>
      <c r="AC14" s="5"/>
      <c r="AD14" s="5"/>
      <c r="AE14" s="5"/>
      <c r="AF14" s="5"/>
      <c r="AG14" s="5"/>
      <c r="AH14" s="5"/>
      <c r="AI14" s="5"/>
      <c r="AJ14" s="5"/>
      <c r="AK14" s="5"/>
      <c r="AL14" s="5"/>
      <c r="AM14" s="1"/>
      <c r="AN14" s="1"/>
      <c r="AO14" s="1"/>
      <c r="AP14" s="1"/>
      <c r="AQ14" s="1"/>
      <c r="AR14" s="1"/>
      <c r="AS14" s="1"/>
      <c r="AT14" s="1"/>
      <c r="AU14" s="1"/>
      <c r="AV14" s="1"/>
      <c r="AW14" s="1"/>
      <c r="AX14" s="1"/>
      <c r="AY14" s="1"/>
    </row>
    <row r="15" spans="1:51" ht="15" customHeight="1" x14ac:dyDescent="0.5">
      <c r="A15" s="5"/>
      <c r="B15" s="2"/>
      <c r="C15" s="72" t="s">
        <v>64</v>
      </c>
      <c r="D15" s="78">
        <v>0</v>
      </c>
      <c r="E15" s="77" t="s">
        <v>11</v>
      </c>
      <c r="F15" s="164"/>
      <c r="G15" s="180" t="s">
        <v>141</v>
      </c>
      <c r="H15" s="208" t="str">
        <f>'Price list'!B13</f>
        <v>Magnesium (foliar)</v>
      </c>
      <c r="I15" s="164"/>
      <c r="J15" s="180" t="s">
        <v>141</v>
      </c>
      <c r="K15" s="183" t="str">
        <f>'Price list'!B35</f>
        <v>UAN</v>
      </c>
      <c r="L15" s="6"/>
      <c r="M15" s="180" t="s">
        <v>141</v>
      </c>
      <c r="N15" s="210" t="str">
        <f>'Price list'!B57</f>
        <v>Switch 62.5 WG</v>
      </c>
      <c r="O15" s="6"/>
      <c r="P15" s="180" t="s">
        <v>141</v>
      </c>
      <c r="Q15" s="212" t="str">
        <f>'Price list'!B79</f>
        <v>Other</v>
      </c>
      <c r="R15" s="3"/>
      <c r="S15" s="216" t="s">
        <v>155</v>
      </c>
      <c r="T15" s="86">
        <f>'Price list'!BI12</f>
        <v>0</v>
      </c>
      <c r="U15" s="3"/>
      <c r="V15" s="97" t="s">
        <v>62</v>
      </c>
      <c r="W15" s="98">
        <f>W14*D9</f>
        <v>0</v>
      </c>
      <c r="X15" s="99" t="s">
        <v>11</v>
      </c>
      <c r="Y15" s="4"/>
      <c r="Z15" s="5"/>
      <c r="AA15" s="5"/>
      <c r="AB15" s="5"/>
      <c r="AC15" s="5"/>
      <c r="AD15" s="5"/>
      <c r="AE15" s="5"/>
      <c r="AF15" s="5"/>
      <c r="AG15" s="5"/>
      <c r="AH15" s="5"/>
      <c r="AI15" s="5"/>
      <c r="AJ15" s="5"/>
      <c r="AK15" s="5"/>
      <c r="AL15" s="5"/>
      <c r="AM15" s="1"/>
      <c r="AN15" s="1"/>
      <c r="AO15" s="1"/>
      <c r="AP15" s="1"/>
      <c r="AQ15" s="1"/>
      <c r="AR15" s="1"/>
      <c r="AS15" s="1"/>
      <c r="AT15" s="1"/>
      <c r="AU15" s="1"/>
      <c r="AV15" s="1"/>
      <c r="AW15" s="1"/>
      <c r="AX15" s="1"/>
      <c r="AY15" s="1"/>
    </row>
    <row r="16" spans="1:51" ht="15" customHeight="1" x14ac:dyDescent="0.5">
      <c r="A16" s="5"/>
      <c r="B16" s="2"/>
      <c r="C16" s="72" t="s">
        <v>226</v>
      </c>
      <c r="D16" s="78">
        <v>0</v>
      </c>
      <c r="E16" s="77" t="s">
        <v>11</v>
      </c>
      <c r="F16" s="164"/>
      <c r="G16" s="180" t="s">
        <v>141</v>
      </c>
      <c r="H16" s="208" t="str">
        <f>'Price list'!B14</f>
        <v>Other</v>
      </c>
      <c r="I16" s="164"/>
      <c r="J16" s="180" t="s">
        <v>141</v>
      </c>
      <c r="K16" s="183" t="str">
        <f>'Price list'!B36</f>
        <v>Callisto 480 SC</v>
      </c>
      <c r="L16" s="6"/>
      <c r="M16" s="180" t="s">
        <v>141</v>
      </c>
      <c r="N16" s="210" t="str">
        <f>'Price list'!B58</f>
        <v>Pristine WG</v>
      </c>
      <c r="O16" s="6"/>
      <c r="P16" s="180" t="s">
        <v>141</v>
      </c>
      <c r="Q16" s="212" t="str">
        <f>'Price list'!B80</f>
        <v>Other</v>
      </c>
      <c r="R16" s="3"/>
      <c r="S16" s="85" t="s">
        <v>67</v>
      </c>
      <c r="T16" s="86">
        <f>'Price list'!BI13</f>
        <v>0</v>
      </c>
      <c r="U16" s="3"/>
      <c r="V16" s="85" t="s">
        <v>25</v>
      </c>
      <c r="W16" s="96">
        <f>D11*W7</f>
        <v>5200</v>
      </c>
      <c r="X16" s="94" t="s">
        <v>9</v>
      </c>
      <c r="Y16" s="4"/>
      <c r="Z16" s="5"/>
      <c r="AA16" s="5"/>
      <c r="AB16" s="5"/>
      <c r="AC16" s="5"/>
      <c r="AD16" s="5"/>
      <c r="AE16" s="5"/>
      <c r="AF16" s="5"/>
      <c r="AG16" s="5"/>
      <c r="AH16" s="5"/>
      <c r="AI16" s="5"/>
      <c r="AJ16" s="5"/>
      <c r="AK16" s="5"/>
      <c r="AL16" s="5"/>
      <c r="AM16" s="1"/>
      <c r="AN16" s="1"/>
      <c r="AO16" s="1"/>
      <c r="AP16" s="1"/>
      <c r="AQ16" s="1"/>
      <c r="AR16" s="1"/>
      <c r="AS16" s="1"/>
      <c r="AT16" s="1"/>
      <c r="AU16" s="1"/>
      <c r="AV16" s="1"/>
      <c r="AW16" s="1"/>
      <c r="AX16" s="1"/>
      <c r="AY16" s="1"/>
    </row>
    <row r="17" spans="1:51" ht="15" customHeight="1" x14ac:dyDescent="0.5">
      <c r="A17" s="5"/>
      <c r="B17" s="2"/>
      <c r="C17" s="72" t="s">
        <v>230</v>
      </c>
      <c r="D17" s="78">
        <v>0</v>
      </c>
      <c r="E17" s="77" t="s">
        <v>11</v>
      </c>
      <c r="F17" s="164"/>
      <c r="G17" s="180" t="s">
        <v>141</v>
      </c>
      <c r="H17" s="208" t="str">
        <f>'Price list'!B15</f>
        <v>Other</v>
      </c>
      <c r="I17" s="164"/>
      <c r="J17" s="180" t="s">
        <v>141</v>
      </c>
      <c r="K17" s="183" t="str">
        <f>'Price list'!B37</f>
        <v>Kerb SC</v>
      </c>
      <c r="L17" s="6"/>
      <c r="M17" s="180" t="s">
        <v>141</v>
      </c>
      <c r="N17" s="210" t="str">
        <f>'Price list'!B59</f>
        <v>Sercadis</v>
      </c>
      <c r="O17" s="6"/>
      <c r="P17" s="180" t="s">
        <v>141</v>
      </c>
      <c r="Q17" s="212" t="str">
        <f>'Price list'!B81</f>
        <v>Other</v>
      </c>
      <c r="R17" s="3"/>
      <c r="S17" s="85" t="s">
        <v>176</v>
      </c>
      <c r="T17" s="86">
        <f>'Price list'!BI14</f>
        <v>0</v>
      </c>
      <c r="U17" s="3"/>
      <c r="V17" s="85" t="s">
        <v>25</v>
      </c>
      <c r="W17" s="96">
        <f>W16*D9</f>
        <v>52000</v>
      </c>
      <c r="X17" s="94" t="s">
        <v>11</v>
      </c>
      <c r="Y17" s="4"/>
      <c r="Z17" s="5"/>
      <c r="AA17" s="5"/>
      <c r="AB17" s="5"/>
      <c r="AC17" s="5"/>
      <c r="AD17" s="5"/>
      <c r="AE17" s="5"/>
      <c r="AF17" s="5"/>
      <c r="AG17" s="5"/>
      <c r="AH17" s="5"/>
      <c r="AI17" s="5"/>
      <c r="AJ17" s="5"/>
      <c r="AK17" s="5"/>
      <c r="AL17" s="5"/>
      <c r="AM17" s="1"/>
      <c r="AN17" s="1"/>
      <c r="AO17" s="1"/>
      <c r="AP17" s="1"/>
      <c r="AQ17" s="1"/>
      <c r="AR17" s="1"/>
      <c r="AS17" s="1"/>
      <c r="AT17" s="1"/>
      <c r="AU17" s="1"/>
      <c r="AV17" s="1"/>
      <c r="AW17" s="1"/>
      <c r="AX17" s="1"/>
      <c r="AY17" s="1"/>
    </row>
    <row r="18" spans="1:51" ht="15" customHeight="1" x14ac:dyDescent="0.5">
      <c r="A18" s="5"/>
      <c r="B18" s="2"/>
      <c r="C18" s="72" t="s">
        <v>225</v>
      </c>
      <c r="D18" s="78">
        <v>0</v>
      </c>
      <c r="E18" s="77" t="s">
        <v>11</v>
      </c>
      <c r="F18" s="164"/>
      <c r="G18" s="180" t="s">
        <v>141</v>
      </c>
      <c r="H18" s="208" t="str">
        <f>'Price list'!B16</f>
        <v>Other</v>
      </c>
      <c r="I18" s="164"/>
      <c r="J18" s="180" t="s">
        <v>141</v>
      </c>
      <c r="K18" s="183" t="str">
        <f>'Price list'!B38</f>
        <v>Chateau WDG</v>
      </c>
      <c r="L18" s="6"/>
      <c r="M18" s="180" t="s">
        <v>141</v>
      </c>
      <c r="N18" s="210" t="str">
        <f>'Price list'!B60</f>
        <v>Cabrio EG</v>
      </c>
      <c r="O18" s="6"/>
      <c r="P18" s="180" t="s">
        <v>141</v>
      </c>
      <c r="Q18" s="212" t="str">
        <f>'Price list'!B82</f>
        <v>Other</v>
      </c>
      <c r="R18" s="3"/>
      <c r="S18" s="85" t="s">
        <v>175</v>
      </c>
      <c r="T18" s="86">
        <f>'Price list'!BI15</f>
        <v>0</v>
      </c>
      <c r="U18" s="3"/>
      <c r="V18" s="85" t="s">
        <v>24</v>
      </c>
      <c r="W18" s="100">
        <v>0</v>
      </c>
      <c r="X18" s="94" t="s">
        <v>11</v>
      </c>
      <c r="Y18" s="4"/>
      <c r="Z18" s="5"/>
      <c r="AA18" s="5"/>
      <c r="AB18" s="5"/>
      <c r="AC18" s="5"/>
      <c r="AD18" s="5"/>
      <c r="AE18" s="5"/>
      <c r="AF18" s="5"/>
      <c r="AG18" s="5"/>
      <c r="AH18" s="5"/>
      <c r="AI18" s="5"/>
      <c r="AJ18" s="5"/>
      <c r="AK18" s="5"/>
      <c r="AL18" s="5"/>
      <c r="AM18" s="1"/>
      <c r="AN18" s="1"/>
      <c r="AO18" s="1"/>
      <c r="AP18" s="1"/>
      <c r="AQ18" s="1"/>
      <c r="AR18" s="1"/>
      <c r="AS18" s="1"/>
      <c r="AT18" s="1"/>
      <c r="AU18" s="1"/>
      <c r="AV18" s="1"/>
      <c r="AW18" s="1"/>
      <c r="AX18" s="1"/>
      <c r="AY18" s="1"/>
    </row>
    <row r="19" spans="1:51" ht="15" customHeight="1" x14ac:dyDescent="0.5">
      <c r="A19" s="5"/>
      <c r="B19" s="2"/>
      <c r="C19" s="223" t="s">
        <v>152</v>
      </c>
      <c r="D19" s="78">
        <v>0</v>
      </c>
      <c r="E19" s="77" t="s">
        <v>11</v>
      </c>
      <c r="F19" s="164"/>
      <c r="G19" s="180" t="s">
        <v>141</v>
      </c>
      <c r="H19" s="208" t="str">
        <f>'Price list'!B17</f>
        <v>Other</v>
      </c>
      <c r="I19" s="164"/>
      <c r="J19" s="180" t="s">
        <v>141</v>
      </c>
      <c r="K19" s="183" t="str">
        <f>'Price list'!B39</f>
        <v>Ignite 15 SN</v>
      </c>
      <c r="L19" s="6"/>
      <c r="M19" s="180" t="s">
        <v>141</v>
      </c>
      <c r="N19" s="210" t="str">
        <f>'Price list'!B61</f>
        <v>Aprovia</v>
      </c>
      <c r="O19" s="6"/>
      <c r="P19" s="180" t="s">
        <v>141</v>
      </c>
      <c r="Q19" s="212" t="str">
        <f>'Price list'!B83</f>
        <v>Other</v>
      </c>
      <c r="R19" s="3"/>
      <c r="S19" s="85" t="s">
        <v>174</v>
      </c>
      <c r="T19" s="86">
        <f>'Price list'!BI16</f>
        <v>0</v>
      </c>
      <c r="U19" s="3"/>
      <c r="V19" s="85" t="s">
        <v>26</v>
      </c>
      <c r="W19" s="100">
        <v>0</v>
      </c>
      <c r="X19" s="94" t="s">
        <v>11</v>
      </c>
      <c r="Y19" s="4"/>
      <c r="Z19" s="5"/>
      <c r="AA19" s="5"/>
      <c r="AB19" s="5"/>
      <c r="AC19" s="5"/>
      <c r="AD19" s="5"/>
      <c r="AE19" s="5"/>
      <c r="AF19" s="5"/>
      <c r="AG19" s="5"/>
      <c r="AH19" s="5"/>
      <c r="AI19" s="5"/>
      <c r="AJ19" s="5"/>
      <c r="AK19" s="5"/>
      <c r="AL19" s="5"/>
      <c r="AM19" s="1"/>
      <c r="AN19" s="1"/>
      <c r="AO19" s="1"/>
      <c r="AP19" s="1"/>
      <c r="AQ19" s="1"/>
      <c r="AR19" s="1"/>
      <c r="AS19" s="1"/>
      <c r="AT19" s="1"/>
      <c r="AU19" s="1"/>
      <c r="AV19" s="1"/>
      <c r="AW19" s="1"/>
      <c r="AX19" s="1"/>
      <c r="AY19" s="1"/>
    </row>
    <row r="20" spans="1:51" ht="15" customHeight="1" x14ac:dyDescent="0.5">
      <c r="A20" s="5"/>
      <c r="B20" s="2"/>
      <c r="C20" s="223" t="s">
        <v>153</v>
      </c>
      <c r="D20" s="78">
        <v>0</v>
      </c>
      <c r="E20" s="77" t="s">
        <v>11</v>
      </c>
      <c r="F20" s="164"/>
      <c r="G20" s="180" t="s">
        <v>141</v>
      </c>
      <c r="H20" s="208" t="str">
        <f>'Price list'!B18</f>
        <v>Other</v>
      </c>
      <c r="I20" s="164"/>
      <c r="J20" s="180" t="s">
        <v>141</v>
      </c>
      <c r="K20" s="183" t="str">
        <f>'Price list'!B40</f>
        <v>Authority 480</v>
      </c>
      <c r="L20" s="6"/>
      <c r="M20" s="180" t="s">
        <v>141</v>
      </c>
      <c r="N20" s="210" t="str">
        <f>'Price list'!B62</f>
        <v>Luna Tranquility</v>
      </c>
      <c r="O20" s="6"/>
      <c r="P20" s="180" t="s">
        <v>141</v>
      </c>
      <c r="Q20" s="212" t="str">
        <f>'Price list'!B84</f>
        <v>Other</v>
      </c>
      <c r="R20" s="3"/>
      <c r="S20" s="85" t="s">
        <v>2</v>
      </c>
      <c r="T20" s="86">
        <f>'Price list'!BI17</f>
        <v>0</v>
      </c>
      <c r="U20" s="3"/>
      <c r="V20" s="337" t="s">
        <v>12</v>
      </c>
      <c r="W20" s="338">
        <f>W23/D9</f>
        <v>3720</v>
      </c>
      <c r="X20" s="339" t="s">
        <v>9</v>
      </c>
      <c r="Y20" s="4"/>
      <c r="Z20" s="5"/>
      <c r="AA20" s="5"/>
      <c r="AB20" s="5"/>
      <c r="AC20" s="5"/>
      <c r="AD20" s="5"/>
      <c r="AE20" s="5"/>
      <c r="AF20" s="5"/>
      <c r="AG20" s="5"/>
      <c r="AH20" s="5"/>
      <c r="AI20" s="5"/>
      <c r="AJ20" s="5"/>
      <c r="AK20" s="5"/>
      <c r="AL20" s="5"/>
      <c r="AM20" s="1"/>
      <c r="AN20" s="1"/>
      <c r="AO20" s="1"/>
      <c r="AP20" s="1"/>
      <c r="AQ20" s="1"/>
      <c r="AR20" s="1"/>
      <c r="AS20" s="1"/>
      <c r="AT20" s="1"/>
      <c r="AU20" s="1"/>
      <c r="AV20" s="1"/>
      <c r="AW20" s="1"/>
      <c r="AX20" s="1"/>
      <c r="AY20" s="1"/>
    </row>
    <row r="21" spans="1:51" ht="15" customHeight="1" x14ac:dyDescent="0.5">
      <c r="A21" s="5"/>
      <c r="B21" s="2"/>
      <c r="C21" s="223" t="s">
        <v>154</v>
      </c>
      <c r="D21" s="78">
        <v>0</v>
      </c>
      <c r="E21" s="77" t="s">
        <v>11</v>
      </c>
      <c r="F21" s="37"/>
      <c r="G21" s="180" t="s">
        <v>141</v>
      </c>
      <c r="H21" s="208" t="str">
        <f>'Price list'!B19</f>
        <v>Other</v>
      </c>
      <c r="I21" s="37"/>
      <c r="J21" s="180" t="s">
        <v>141</v>
      </c>
      <c r="K21" s="183" t="str">
        <f>'Price list'!B41</f>
        <v>Casoron 4G</v>
      </c>
      <c r="L21" s="6"/>
      <c r="M21" s="180" t="s">
        <v>141</v>
      </c>
      <c r="N21" s="210" t="str">
        <f>'Price list'!B63</f>
        <v>Merivon</v>
      </c>
      <c r="O21" s="6"/>
      <c r="P21" s="180" t="s">
        <v>141</v>
      </c>
      <c r="Q21" s="212" t="str">
        <f>'Price list'!B85</f>
        <v>Other</v>
      </c>
      <c r="R21" s="3"/>
      <c r="S21" s="85" t="s">
        <v>3</v>
      </c>
      <c r="T21" s="86">
        <f>'Price list'!BI18</f>
        <v>0</v>
      </c>
      <c r="U21" s="3"/>
      <c r="V21" s="337"/>
      <c r="W21" s="338"/>
      <c r="X21" s="339"/>
      <c r="Y21" s="4"/>
      <c r="Z21" s="5"/>
      <c r="AA21" s="5"/>
      <c r="AB21" s="5"/>
      <c r="AC21" s="5"/>
      <c r="AD21" s="5"/>
      <c r="AE21" s="5"/>
      <c r="AF21" s="5"/>
      <c r="AG21" s="5"/>
      <c r="AH21" s="5"/>
      <c r="AI21" s="5"/>
      <c r="AJ21" s="5"/>
      <c r="AK21" s="5"/>
      <c r="AL21" s="5"/>
      <c r="AM21" s="1"/>
      <c r="AN21" s="1"/>
      <c r="AO21" s="1"/>
      <c r="AP21" s="1"/>
      <c r="AQ21" s="1"/>
      <c r="AR21" s="1"/>
      <c r="AS21" s="1"/>
      <c r="AT21" s="1"/>
      <c r="AU21" s="1"/>
      <c r="AV21" s="1"/>
      <c r="AW21" s="1"/>
      <c r="AX21" s="1"/>
      <c r="AY21" s="1"/>
    </row>
    <row r="22" spans="1:51" ht="15" customHeight="1" x14ac:dyDescent="0.5">
      <c r="A22" s="5"/>
      <c r="B22" s="2"/>
      <c r="C22" s="223" t="s">
        <v>155</v>
      </c>
      <c r="D22" s="78">
        <v>0</v>
      </c>
      <c r="E22" s="74" t="s">
        <v>11</v>
      </c>
      <c r="F22" s="37"/>
      <c r="G22" s="180" t="s">
        <v>141</v>
      </c>
      <c r="H22" s="208" t="str">
        <f>'Price list'!B20</f>
        <v>Other</v>
      </c>
      <c r="I22" s="37"/>
      <c r="J22" s="180" t="s">
        <v>141</v>
      </c>
      <c r="K22" s="183" t="str">
        <f>'Price list'!B42</f>
        <v>Chikara-pending registration</v>
      </c>
      <c r="L22" s="6"/>
      <c r="M22" s="180" t="s">
        <v>141</v>
      </c>
      <c r="N22" s="210" t="str">
        <f>'Price list'!B64</f>
        <v>Other</v>
      </c>
      <c r="O22" s="6"/>
      <c r="P22" s="180" t="s">
        <v>141</v>
      </c>
      <c r="Q22" s="212" t="str">
        <f>'Price list'!B86</f>
        <v>Other</v>
      </c>
      <c r="R22" s="3"/>
      <c r="S22" s="85" t="s">
        <v>4</v>
      </c>
      <c r="T22" s="86">
        <f>'Price list'!BI19</f>
        <v>0</v>
      </c>
      <c r="U22" s="3"/>
      <c r="V22" s="337"/>
      <c r="W22" s="338"/>
      <c r="X22" s="339"/>
      <c r="Y22" s="4"/>
      <c r="Z22" s="5"/>
      <c r="AA22" s="5"/>
      <c r="AB22" s="5"/>
      <c r="AC22" s="5"/>
      <c r="AD22" s="5"/>
      <c r="AE22" s="5"/>
      <c r="AF22" s="5"/>
      <c r="AG22" s="5"/>
      <c r="AH22" s="5"/>
      <c r="AI22" s="5"/>
      <c r="AJ22" s="5"/>
      <c r="AK22" s="5"/>
      <c r="AL22" s="5"/>
      <c r="AM22" s="1"/>
      <c r="AN22" s="1"/>
      <c r="AO22" s="1"/>
      <c r="AP22" s="1"/>
      <c r="AQ22" s="1"/>
      <c r="AR22" s="1"/>
      <c r="AS22" s="1"/>
      <c r="AT22" s="1"/>
      <c r="AU22" s="1"/>
      <c r="AV22" s="1"/>
      <c r="AW22" s="1"/>
      <c r="AX22" s="1"/>
      <c r="AY22" s="1"/>
    </row>
    <row r="23" spans="1:51" ht="15" customHeight="1" x14ac:dyDescent="0.5">
      <c r="A23" s="5"/>
      <c r="B23" s="2"/>
      <c r="C23" s="223" t="s">
        <v>67</v>
      </c>
      <c r="D23" s="78">
        <v>0</v>
      </c>
      <c r="E23" s="74" t="s">
        <v>11</v>
      </c>
      <c r="F23" s="37"/>
      <c r="G23" s="180" t="s">
        <v>141</v>
      </c>
      <c r="H23" s="208" t="str">
        <f>'Price list'!B21</f>
        <v>Other</v>
      </c>
      <c r="I23" s="37"/>
      <c r="J23" s="180" t="s">
        <v>141</v>
      </c>
      <c r="K23" s="183" t="str">
        <f>'Price list'!B43</f>
        <v>Other</v>
      </c>
      <c r="L23" s="37"/>
      <c r="M23" s="180" t="s">
        <v>141</v>
      </c>
      <c r="N23" s="210" t="str">
        <f>'Price list'!B65</f>
        <v>Other</v>
      </c>
      <c r="O23" s="37"/>
      <c r="P23" s="180" t="s">
        <v>141</v>
      </c>
      <c r="Q23" s="212" t="str">
        <f>'Price list'!B87</f>
        <v>Other</v>
      </c>
      <c r="R23" s="3"/>
      <c r="S23" s="85" t="s">
        <v>5</v>
      </c>
      <c r="T23" s="86">
        <f>'Price list'!BI20</f>
        <v>0</v>
      </c>
      <c r="U23" s="3"/>
      <c r="V23" s="331" t="s">
        <v>12</v>
      </c>
      <c r="W23" s="333">
        <f>W17-'Price list'!BI25+W18-W19</f>
        <v>37200</v>
      </c>
      <c r="X23" s="335" t="s">
        <v>11</v>
      </c>
      <c r="Y23" s="4"/>
      <c r="Z23" s="71"/>
      <c r="AA23" s="5"/>
      <c r="AB23" s="5"/>
      <c r="AC23" s="5"/>
      <c r="AD23" s="5"/>
      <c r="AE23" s="5"/>
      <c r="AF23" s="5"/>
      <c r="AG23" s="5"/>
      <c r="AH23" s="5"/>
      <c r="AI23" s="5"/>
      <c r="AJ23" s="5"/>
      <c r="AK23" s="5"/>
      <c r="AL23" s="5"/>
      <c r="AM23" s="1"/>
      <c r="AN23" s="1"/>
      <c r="AO23" s="1"/>
      <c r="AP23" s="1"/>
      <c r="AQ23" s="1"/>
      <c r="AR23" s="1"/>
      <c r="AS23" s="1"/>
      <c r="AT23" s="1"/>
      <c r="AU23" s="1"/>
      <c r="AV23" s="1"/>
      <c r="AW23" s="1"/>
      <c r="AX23" s="1"/>
      <c r="AY23" s="1"/>
    </row>
    <row r="24" spans="1:51" ht="15" customHeight="1" x14ac:dyDescent="0.5">
      <c r="A24" s="5"/>
      <c r="B24" s="2"/>
      <c r="C24" s="223" t="s">
        <v>176</v>
      </c>
      <c r="D24" s="78">
        <v>0</v>
      </c>
      <c r="E24" s="74" t="s">
        <v>11</v>
      </c>
      <c r="F24" s="37"/>
      <c r="G24" s="180" t="s">
        <v>141</v>
      </c>
      <c r="H24" s="208" t="str">
        <f>'Price list'!B22</f>
        <v>Other</v>
      </c>
      <c r="I24" s="37"/>
      <c r="J24" s="180" t="s">
        <v>141</v>
      </c>
      <c r="K24" s="183" t="str">
        <f>'Price list'!B44</f>
        <v>Other</v>
      </c>
      <c r="L24" s="37"/>
      <c r="M24" s="180" t="s">
        <v>141</v>
      </c>
      <c r="N24" s="210" t="str">
        <f>'Price list'!B66</f>
        <v>Other</v>
      </c>
      <c r="O24" s="37"/>
      <c r="P24" s="180" t="s">
        <v>141</v>
      </c>
      <c r="Q24" s="212" t="str">
        <f>'Price list'!B88</f>
        <v>Other</v>
      </c>
      <c r="R24" s="3"/>
      <c r="S24" s="85" t="s">
        <v>8</v>
      </c>
      <c r="T24" s="86">
        <f>'Price list'!BI21</f>
        <v>5000</v>
      </c>
      <c r="U24" s="3"/>
      <c r="V24" s="332"/>
      <c r="W24" s="334"/>
      <c r="X24" s="336"/>
      <c r="Y24" s="4"/>
      <c r="Z24" s="5"/>
      <c r="AA24" s="5"/>
      <c r="AB24" s="5"/>
      <c r="AC24" s="5"/>
      <c r="AD24" s="5"/>
      <c r="AE24" s="5"/>
      <c r="AF24" s="5"/>
      <c r="AG24" s="5"/>
      <c r="AH24" s="5"/>
      <c r="AI24" s="5"/>
      <c r="AJ24" s="5"/>
      <c r="AK24" s="5"/>
      <c r="AL24" s="5"/>
      <c r="AM24" s="1"/>
      <c r="AN24" s="1"/>
      <c r="AO24" s="1"/>
      <c r="AP24" s="1"/>
      <c r="AQ24" s="1"/>
      <c r="AR24" s="1"/>
      <c r="AS24" s="1"/>
      <c r="AT24" s="1"/>
      <c r="AU24" s="1"/>
      <c r="AV24" s="1"/>
      <c r="AW24" s="1"/>
      <c r="AX24" s="1"/>
      <c r="AY24" s="1"/>
    </row>
    <row r="25" spans="1:51" ht="15" customHeight="1" x14ac:dyDescent="0.5">
      <c r="A25" s="5"/>
      <c r="B25" s="2"/>
      <c r="C25" s="223" t="s">
        <v>175</v>
      </c>
      <c r="D25" s="78">
        <v>0</v>
      </c>
      <c r="E25" s="74" t="s">
        <v>11</v>
      </c>
      <c r="F25" s="37"/>
      <c r="G25" s="180" t="s">
        <v>141</v>
      </c>
      <c r="H25" s="208" t="str">
        <f>'Price list'!B23</f>
        <v>Other</v>
      </c>
      <c r="I25" s="37"/>
      <c r="J25" s="180" t="s">
        <v>141</v>
      </c>
      <c r="K25" s="183" t="str">
        <f>'Price list'!B45</f>
        <v>Other</v>
      </c>
      <c r="L25" s="37"/>
      <c r="M25" s="180" t="s">
        <v>141</v>
      </c>
      <c r="N25" s="210" t="str">
        <f>'Price list'!B67</f>
        <v>Other</v>
      </c>
      <c r="O25" s="37"/>
      <c r="P25" s="180" t="s">
        <v>141</v>
      </c>
      <c r="Q25" s="212" t="str">
        <f>'Price list'!B89</f>
        <v>Other</v>
      </c>
      <c r="R25" s="3"/>
      <c r="S25" s="85" t="s">
        <v>180</v>
      </c>
      <c r="T25" s="86">
        <f>'Price list'!BI22</f>
        <v>7150</v>
      </c>
      <c r="U25" s="3"/>
      <c r="V25" s="332"/>
      <c r="W25" s="334"/>
      <c r="X25" s="336"/>
      <c r="Y25" s="4"/>
      <c r="Z25" s="5"/>
      <c r="AA25" s="5"/>
      <c r="AB25" s="5"/>
      <c r="AC25" s="5"/>
      <c r="AD25" s="5"/>
      <c r="AE25" s="5"/>
      <c r="AF25" s="5"/>
      <c r="AG25" s="5"/>
      <c r="AH25" s="5"/>
      <c r="AI25" s="5"/>
      <c r="AJ25" s="5"/>
      <c r="AK25" s="5"/>
      <c r="AL25" s="5"/>
      <c r="AM25" s="1"/>
      <c r="AN25" s="1"/>
      <c r="AO25" s="1"/>
      <c r="AP25" s="1"/>
      <c r="AQ25" s="1"/>
      <c r="AR25" s="1"/>
      <c r="AS25" s="1"/>
      <c r="AT25" s="1"/>
      <c r="AU25" s="1"/>
      <c r="AV25" s="1"/>
      <c r="AW25" s="1"/>
      <c r="AX25" s="1"/>
      <c r="AY25" s="1"/>
    </row>
    <row r="26" spans="1:51" ht="15" customHeight="1" x14ac:dyDescent="0.5">
      <c r="A26" s="5"/>
      <c r="B26" s="2"/>
      <c r="C26" s="223" t="s">
        <v>174</v>
      </c>
      <c r="D26" s="78">
        <v>0</v>
      </c>
      <c r="E26" s="74" t="s">
        <v>11</v>
      </c>
      <c r="F26" s="37"/>
      <c r="G26" s="37"/>
      <c r="H26" s="37"/>
      <c r="I26" s="37"/>
      <c r="J26" s="37"/>
      <c r="K26" s="37"/>
      <c r="L26" s="37"/>
      <c r="M26" s="37"/>
      <c r="N26" s="37"/>
      <c r="O26" s="37"/>
      <c r="P26" s="37"/>
      <c r="Q26" s="8"/>
      <c r="R26" s="3"/>
      <c r="S26" s="85" t="s">
        <v>19</v>
      </c>
      <c r="T26" s="86">
        <f>'Price list'!BI23</f>
        <v>1300</v>
      </c>
      <c r="U26" s="3"/>
      <c r="V26" s="331" t="s">
        <v>232</v>
      </c>
      <c r="W26" s="341">
        <f>('Price list'!BI25+'User input'!W19-'User input'!W18)/(D11*D9)</f>
        <v>0.22769230769230769</v>
      </c>
      <c r="X26" s="344" t="s">
        <v>10</v>
      </c>
      <c r="Y26" s="4"/>
      <c r="Z26" s="5"/>
      <c r="AA26" s="5"/>
      <c r="AB26" s="5"/>
      <c r="AC26" s="5"/>
      <c r="AD26" s="5"/>
      <c r="AE26" s="5"/>
      <c r="AF26" s="5"/>
      <c r="AG26" s="5"/>
      <c r="AH26" s="5"/>
      <c r="AI26" s="5"/>
      <c r="AJ26" s="5"/>
      <c r="AK26" s="5"/>
      <c r="AL26" s="5"/>
      <c r="AM26" s="1"/>
      <c r="AN26" s="1"/>
      <c r="AO26" s="1"/>
      <c r="AP26" s="1"/>
      <c r="AQ26" s="1"/>
      <c r="AR26" s="1"/>
      <c r="AS26" s="1"/>
      <c r="AT26" s="1"/>
      <c r="AU26" s="1"/>
      <c r="AV26" s="1"/>
      <c r="AW26" s="1"/>
      <c r="AX26" s="1"/>
      <c r="AY26" s="1"/>
    </row>
    <row r="27" spans="1:51" ht="15" customHeight="1" x14ac:dyDescent="0.5">
      <c r="A27" s="5"/>
      <c r="B27" s="2"/>
      <c r="C27" s="75" t="s">
        <v>177</v>
      </c>
      <c r="D27" s="80" t="s">
        <v>139</v>
      </c>
      <c r="E27" s="77" t="s">
        <v>9</v>
      </c>
      <c r="F27" s="37"/>
      <c r="G27" s="37"/>
      <c r="H27" s="37"/>
      <c r="I27" s="37"/>
      <c r="J27" s="37"/>
      <c r="K27" s="37"/>
      <c r="L27" s="37"/>
      <c r="M27" s="37"/>
      <c r="N27" s="37"/>
      <c r="O27" s="37"/>
      <c r="P27" s="37"/>
      <c r="Q27" s="8"/>
      <c r="R27" s="3"/>
      <c r="S27" s="85" t="s">
        <v>6</v>
      </c>
      <c r="T27" s="86">
        <f>'Price list'!BI24</f>
        <v>700</v>
      </c>
      <c r="U27" s="3"/>
      <c r="V27" s="332"/>
      <c r="W27" s="342"/>
      <c r="X27" s="345"/>
      <c r="Y27" s="4"/>
      <c r="Z27" s="5"/>
      <c r="AA27" s="5"/>
      <c r="AB27" s="5"/>
      <c r="AC27" s="5"/>
      <c r="AD27" s="5"/>
      <c r="AE27" s="5"/>
      <c r="AF27" s="5"/>
      <c r="AG27" s="5"/>
      <c r="AH27" s="5"/>
      <c r="AI27" s="5"/>
      <c r="AJ27" s="5"/>
      <c r="AK27" s="5"/>
      <c r="AL27" s="5"/>
      <c r="AM27" s="1"/>
      <c r="AN27" s="1"/>
      <c r="AO27" s="1"/>
      <c r="AP27" s="1"/>
      <c r="AQ27" s="1"/>
      <c r="AR27" s="1"/>
      <c r="AS27" s="1"/>
      <c r="AT27" s="1"/>
      <c r="AU27" s="1"/>
      <c r="AV27" s="1"/>
      <c r="AW27" s="1"/>
      <c r="AX27" s="1"/>
      <c r="AY27" s="1"/>
    </row>
    <row r="28" spans="1:51" ht="15" customHeight="1" thickBot="1" x14ac:dyDescent="0.55000000000000004">
      <c r="A28" s="5"/>
      <c r="B28" s="2"/>
      <c r="C28" s="75" t="s">
        <v>178</v>
      </c>
      <c r="D28" s="80" t="s">
        <v>139</v>
      </c>
      <c r="E28" s="77" t="s">
        <v>9</v>
      </c>
      <c r="F28" s="37"/>
      <c r="G28" s="37"/>
      <c r="H28" s="37"/>
      <c r="I28" s="37"/>
      <c r="J28" s="37"/>
      <c r="K28" s="37"/>
      <c r="L28" s="37"/>
      <c r="M28" s="37"/>
      <c r="N28" s="37"/>
      <c r="O28" s="37"/>
      <c r="P28" s="37"/>
      <c r="Q28" s="8"/>
      <c r="R28" s="3"/>
      <c r="S28" s="281" t="s">
        <v>36</v>
      </c>
      <c r="T28" s="282">
        <f>'Price list'!BI25</f>
        <v>14800</v>
      </c>
      <c r="U28" s="3"/>
      <c r="V28" s="340"/>
      <c r="W28" s="343"/>
      <c r="X28" s="346"/>
      <c r="Y28" s="4"/>
      <c r="Z28" s="5"/>
      <c r="AA28" s="5"/>
      <c r="AB28" s="5"/>
      <c r="AC28" s="5"/>
      <c r="AD28" s="5"/>
      <c r="AE28" s="5"/>
      <c r="AF28" s="5"/>
      <c r="AG28" s="5"/>
      <c r="AH28" s="5"/>
      <c r="AI28" s="5"/>
      <c r="AJ28" s="5"/>
      <c r="AK28" s="5"/>
      <c r="AL28" s="5"/>
      <c r="AM28" s="1"/>
      <c r="AN28" s="1"/>
      <c r="AO28" s="1"/>
      <c r="AP28" s="1"/>
      <c r="AQ28" s="1"/>
      <c r="AR28" s="1"/>
      <c r="AS28" s="1"/>
      <c r="AT28" s="1"/>
      <c r="AU28" s="1"/>
      <c r="AV28" s="1"/>
      <c r="AW28" s="1"/>
      <c r="AX28" s="1"/>
      <c r="AY28" s="1"/>
    </row>
    <row r="29" spans="1:51" ht="15" customHeight="1" thickTop="1" x14ac:dyDescent="0.5">
      <c r="A29" s="5"/>
      <c r="B29" s="2"/>
      <c r="C29" s="75" t="s">
        <v>159</v>
      </c>
      <c r="D29" s="80" t="s">
        <v>260</v>
      </c>
      <c r="E29" s="77" t="s">
        <v>9</v>
      </c>
      <c r="F29" s="37"/>
      <c r="G29" s="37"/>
      <c r="H29" s="37"/>
      <c r="I29" s="37"/>
      <c r="J29" s="37"/>
      <c r="K29" s="37"/>
      <c r="L29" s="37"/>
      <c r="M29" s="37"/>
      <c r="N29" s="37"/>
      <c r="O29" s="37"/>
      <c r="P29" s="37"/>
      <c r="Q29" s="8"/>
      <c r="R29" s="3"/>
      <c r="S29" s="3"/>
      <c r="T29" s="3"/>
      <c r="U29" s="3"/>
      <c r="V29" s="3"/>
      <c r="W29" s="3"/>
      <c r="X29" s="3"/>
      <c r="Y29" s="4"/>
      <c r="Z29" s="5"/>
      <c r="AA29" s="5"/>
      <c r="AB29" s="5"/>
      <c r="AC29" s="5"/>
      <c r="AD29" s="5"/>
      <c r="AE29" s="5"/>
      <c r="AF29" s="5"/>
      <c r="AG29" s="5"/>
      <c r="AH29" s="5"/>
      <c r="AI29" s="5"/>
      <c r="AJ29" s="5"/>
      <c r="AK29" s="5"/>
      <c r="AL29" s="5"/>
      <c r="AM29" s="1"/>
      <c r="AN29" s="1"/>
      <c r="AO29" s="1"/>
      <c r="AP29" s="1"/>
      <c r="AQ29" s="1"/>
      <c r="AR29" s="1"/>
      <c r="AS29" s="1"/>
      <c r="AT29" s="1"/>
      <c r="AU29" s="1"/>
      <c r="AV29" s="1"/>
      <c r="AW29" s="1"/>
      <c r="AX29" s="1"/>
      <c r="AY29" s="1"/>
    </row>
    <row r="30" spans="1:51" ht="15" customHeight="1" x14ac:dyDescent="0.5">
      <c r="A30" s="5"/>
      <c r="B30" s="2"/>
      <c r="C30" s="242" t="s">
        <v>160</v>
      </c>
      <c r="D30" s="80" t="s">
        <v>223</v>
      </c>
      <c r="E30" s="77" t="s">
        <v>9</v>
      </c>
      <c r="F30" s="37"/>
      <c r="G30" s="37"/>
      <c r="H30" s="37"/>
      <c r="I30" s="37"/>
      <c r="J30" s="37"/>
      <c r="K30" s="37"/>
      <c r="L30" s="37"/>
      <c r="M30" s="37"/>
      <c r="N30" s="37"/>
      <c r="O30" s="37"/>
      <c r="P30" s="37"/>
      <c r="Q30" s="8"/>
      <c r="R30" s="3"/>
      <c r="S30" s="70"/>
      <c r="T30" s="70"/>
      <c r="U30" s="70"/>
      <c r="V30" s="3"/>
      <c r="W30" s="3"/>
      <c r="X30" s="3"/>
      <c r="Y30" s="4"/>
      <c r="Z30" s="5"/>
      <c r="AA30" s="5"/>
      <c r="AB30" s="5"/>
      <c r="AC30" s="5"/>
      <c r="AD30" s="5"/>
      <c r="AE30" s="5"/>
      <c r="AF30" s="5"/>
      <c r="AG30" s="5"/>
      <c r="AH30" s="5"/>
      <c r="AI30" s="5"/>
      <c r="AJ30" s="5"/>
      <c r="AK30" s="5"/>
      <c r="AL30" s="5"/>
      <c r="AM30" s="1"/>
      <c r="AN30" s="1"/>
      <c r="AO30" s="1"/>
      <c r="AP30" s="1"/>
      <c r="AQ30" s="1"/>
      <c r="AR30" s="1"/>
      <c r="AS30" s="1"/>
      <c r="AT30" s="1"/>
      <c r="AU30" s="1"/>
      <c r="AV30" s="1"/>
      <c r="AW30" s="1"/>
      <c r="AX30" s="1"/>
      <c r="AY30" s="1"/>
    </row>
    <row r="31" spans="1:51" ht="15" customHeight="1" x14ac:dyDescent="0.5">
      <c r="A31" s="5"/>
      <c r="B31" s="2"/>
      <c r="C31" s="75" t="s">
        <v>18</v>
      </c>
      <c r="D31" s="80" t="s">
        <v>33</v>
      </c>
      <c r="E31" s="81"/>
      <c r="F31" s="37"/>
      <c r="G31" s="37"/>
      <c r="H31" s="37"/>
      <c r="I31" s="37"/>
      <c r="J31" s="37"/>
      <c r="K31" s="37"/>
      <c r="L31" s="37"/>
      <c r="M31" s="37"/>
      <c r="N31" s="37"/>
      <c r="O31" s="37"/>
      <c r="P31" s="37"/>
      <c r="Q31" s="8"/>
      <c r="R31" s="3"/>
      <c r="S31" s="70"/>
      <c r="T31" s="70"/>
      <c r="U31" s="70"/>
      <c r="V31" s="3"/>
      <c r="W31" s="3"/>
      <c r="X31" s="3"/>
      <c r="Y31" s="4"/>
      <c r="Z31" s="5"/>
      <c r="AA31" s="5"/>
      <c r="AB31" s="5"/>
      <c r="AC31" s="5"/>
      <c r="AD31" s="5"/>
      <c r="AE31" s="5"/>
      <c r="AF31" s="5"/>
      <c r="AG31" s="5"/>
      <c r="AH31" s="5"/>
      <c r="AI31" s="5"/>
      <c r="AJ31" s="5"/>
      <c r="AK31" s="5"/>
      <c r="AL31" s="5"/>
      <c r="AM31" s="1"/>
      <c r="AN31" s="1"/>
      <c r="AO31" s="1"/>
      <c r="AP31" s="1"/>
      <c r="AQ31" s="1"/>
      <c r="AR31" s="1"/>
      <c r="AS31" s="1"/>
      <c r="AT31" s="1"/>
      <c r="AU31" s="1"/>
      <c r="AV31" s="1"/>
      <c r="AW31" s="1"/>
      <c r="AX31" s="1"/>
      <c r="AY31" s="1"/>
    </row>
    <row r="32" spans="1:51" ht="15" customHeight="1" x14ac:dyDescent="0.5">
      <c r="A32" s="5"/>
      <c r="B32" s="2"/>
      <c r="C32" s="75" t="s">
        <v>179</v>
      </c>
      <c r="D32" s="80" t="s">
        <v>169</v>
      </c>
      <c r="E32" s="82" t="s">
        <v>10</v>
      </c>
      <c r="F32" s="37"/>
      <c r="G32" s="37"/>
      <c r="H32" s="37"/>
      <c r="I32" s="37"/>
      <c r="J32" s="37"/>
      <c r="K32" s="37"/>
      <c r="L32" s="37"/>
      <c r="M32" s="37"/>
      <c r="N32" s="37"/>
      <c r="O32" s="37"/>
      <c r="P32" s="37"/>
      <c r="Q32" s="8"/>
      <c r="R32" s="3"/>
      <c r="S32" s="70"/>
      <c r="T32" s="70"/>
      <c r="U32" s="70"/>
      <c r="V32" s="3"/>
      <c r="W32" s="3"/>
      <c r="X32" s="3"/>
      <c r="Y32" s="4"/>
      <c r="Z32" s="5"/>
      <c r="AA32" s="5"/>
      <c r="AB32" s="5"/>
      <c r="AC32" s="5"/>
      <c r="AD32" s="5"/>
      <c r="AE32" s="5"/>
      <c r="AF32" s="5"/>
      <c r="AG32" s="5"/>
      <c r="AH32" s="5"/>
      <c r="AI32" s="5"/>
      <c r="AJ32" s="5"/>
      <c r="AK32" s="5"/>
      <c r="AL32" s="5"/>
      <c r="AM32" s="1"/>
      <c r="AN32" s="1"/>
      <c r="AO32" s="1"/>
      <c r="AP32" s="1"/>
      <c r="AQ32" s="1"/>
      <c r="AR32" s="1"/>
      <c r="AS32" s="1"/>
      <c r="AT32" s="1"/>
      <c r="AU32" s="1"/>
      <c r="AV32" s="1"/>
      <c r="AW32" s="1"/>
      <c r="AX32" s="1"/>
      <c r="AY32" s="1"/>
    </row>
    <row r="33" spans="1:51" ht="15" customHeight="1" x14ac:dyDescent="0.5">
      <c r="A33" s="5"/>
      <c r="B33" s="2"/>
      <c r="C33" s="75" t="s">
        <v>46</v>
      </c>
      <c r="D33" s="80" t="s">
        <v>170</v>
      </c>
      <c r="E33" s="82" t="s">
        <v>10</v>
      </c>
      <c r="F33" s="37"/>
      <c r="G33" s="37"/>
      <c r="H33" s="37"/>
      <c r="I33" s="37"/>
      <c r="J33" s="37"/>
      <c r="K33" s="37"/>
      <c r="L33" s="6"/>
      <c r="M33" s="6"/>
      <c r="N33" s="6"/>
      <c r="O33" s="6"/>
      <c r="P33" s="6"/>
      <c r="Q33" s="8"/>
      <c r="R33" s="3"/>
      <c r="S33" s="70"/>
      <c r="T33" s="70"/>
      <c r="U33" s="70"/>
      <c r="V33" s="3"/>
      <c r="W33" s="3"/>
      <c r="X33" s="3"/>
      <c r="Y33" s="4"/>
      <c r="Z33" s="5"/>
      <c r="AA33" s="5"/>
      <c r="AB33" s="5"/>
      <c r="AC33" s="5"/>
      <c r="AD33" s="5"/>
      <c r="AE33" s="5"/>
      <c r="AF33" s="5"/>
      <c r="AG33" s="5"/>
      <c r="AH33" s="5"/>
      <c r="AI33" s="5"/>
      <c r="AJ33" s="5"/>
      <c r="AK33" s="5"/>
      <c r="AL33" s="5"/>
      <c r="AM33" s="1"/>
      <c r="AN33" s="1"/>
      <c r="AO33" s="1"/>
      <c r="AP33" s="1"/>
      <c r="AQ33" s="1"/>
      <c r="AR33" s="1"/>
      <c r="AS33" s="1"/>
      <c r="AT33" s="1"/>
      <c r="AU33" s="1"/>
      <c r="AV33" s="1"/>
      <c r="AW33" s="1"/>
      <c r="AX33" s="1"/>
      <c r="AY33" s="1"/>
    </row>
    <row r="34" spans="1:51" ht="15" customHeight="1" x14ac:dyDescent="0.5">
      <c r="A34" s="5"/>
      <c r="B34" s="321"/>
      <c r="C34" s="75" t="s">
        <v>20</v>
      </c>
      <c r="D34" s="80" t="s">
        <v>7</v>
      </c>
      <c r="E34" s="81"/>
      <c r="F34" s="37"/>
      <c r="G34" s="37"/>
      <c r="H34" s="37"/>
      <c r="I34" s="37"/>
      <c r="J34" s="37"/>
      <c r="K34" s="37"/>
      <c r="L34" s="6"/>
      <c r="M34" s="6"/>
      <c r="N34" s="6"/>
      <c r="O34" s="6"/>
      <c r="P34" s="6"/>
      <c r="Q34" s="8"/>
      <c r="R34" s="3"/>
      <c r="S34" s="3"/>
      <c r="T34" s="3"/>
      <c r="U34" s="3"/>
      <c r="V34" s="3"/>
      <c r="W34" s="3"/>
      <c r="X34" s="3"/>
      <c r="Y34" s="4"/>
      <c r="Z34" s="5"/>
      <c r="AA34" s="5"/>
      <c r="AB34" s="5"/>
      <c r="AC34" s="5"/>
      <c r="AD34" s="5"/>
      <c r="AE34" s="5"/>
      <c r="AF34" s="5"/>
      <c r="AG34" s="5"/>
      <c r="AH34" s="5"/>
      <c r="AI34" s="5"/>
      <c r="AJ34" s="5"/>
      <c r="AK34" s="5"/>
      <c r="AL34" s="5"/>
      <c r="AM34" s="1"/>
      <c r="AN34" s="1"/>
      <c r="AO34" s="1"/>
      <c r="AP34" s="1"/>
      <c r="AQ34" s="1"/>
      <c r="AR34" s="1"/>
      <c r="AS34" s="1"/>
      <c r="AT34" s="1"/>
      <c r="AU34" s="1"/>
      <c r="AV34" s="1"/>
      <c r="AW34" s="1"/>
      <c r="AX34" s="1"/>
      <c r="AY34" s="1"/>
    </row>
    <row r="35" spans="1:51" ht="15" customHeight="1" x14ac:dyDescent="0.5">
      <c r="A35" s="5"/>
      <c r="B35" s="2"/>
      <c r="C35" s="75" t="s">
        <v>181</v>
      </c>
      <c r="D35" s="80" t="s">
        <v>185</v>
      </c>
      <c r="E35" s="77" t="s">
        <v>9</v>
      </c>
      <c r="F35" s="6"/>
      <c r="G35" s="6"/>
      <c r="H35" s="6"/>
      <c r="I35" s="6"/>
      <c r="J35" s="6"/>
      <c r="K35" s="6"/>
      <c r="L35" s="6"/>
      <c r="M35" s="6"/>
      <c r="N35" s="6"/>
      <c r="O35" s="6"/>
      <c r="P35" s="6"/>
      <c r="Q35" s="8"/>
      <c r="R35" s="3"/>
      <c r="S35" s="3"/>
      <c r="T35" s="3"/>
      <c r="U35" s="3"/>
      <c r="V35" s="3"/>
      <c r="W35" s="3"/>
      <c r="X35" s="3"/>
      <c r="Y35" s="4"/>
      <c r="Z35" s="5"/>
      <c r="AA35" s="5"/>
      <c r="AB35" s="5"/>
      <c r="AC35" s="5"/>
      <c r="AD35" s="5"/>
      <c r="AE35" s="5"/>
      <c r="AF35" s="5"/>
      <c r="AG35" s="5"/>
      <c r="AH35" s="5"/>
      <c r="AI35" s="5"/>
      <c r="AJ35" s="5"/>
      <c r="AK35" s="5"/>
      <c r="AL35" s="5"/>
      <c r="AM35" s="1"/>
      <c r="AN35" s="1"/>
      <c r="AO35" s="1"/>
      <c r="AP35" s="1"/>
      <c r="AQ35" s="1"/>
      <c r="AR35" s="1"/>
      <c r="AS35" s="1"/>
      <c r="AT35" s="1"/>
      <c r="AU35" s="1"/>
      <c r="AV35" s="1"/>
      <c r="AW35" s="1"/>
      <c r="AX35" s="1"/>
      <c r="AY35" s="1"/>
    </row>
    <row r="36" spans="1:51" ht="15" customHeight="1" thickBot="1" x14ac:dyDescent="0.55000000000000004">
      <c r="A36" s="5"/>
      <c r="B36" s="320"/>
      <c r="C36" s="322"/>
      <c r="D36" s="319"/>
      <c r="E36" s="319"/>
      <c r="F36" s="319"/>
      <c r="G36" s="319"/>
      <c r="H36" s="319"/>
      <c r="I36" s="319"/>
      <c r="J36" s="7"/>
      <c r="K36" s="7"/>
      <c r="L36" s="7"/>
      <c r="M36" s="7"/>
      <c r="N36" s="7"/>
      <c r="O36" s="7"/>
      <c r="P36" s="7"/>
      <c r="Q36" s="190"/>
      <c r="R36" s="3"/>
      <c r="S36" s="3"/>
      <c r="T36" s="3"/>
      <c r="U36" s="3"/>
      <c r="V36" s="3"/>
      <c r="W36" s="3"/>
      <c r="X36" s="3"/>
      <c r="Y36" s="4"/>
      <c r="Z36" s="5"/>
      <c r="AA36" s="5"/>
      <c r="AB36" s="5"/>
      <c r="AC36" s="5"/>
      <c r="AD36" s="5"/>
      <c r="AE36" s="5"/>
      <c r="AF36" s="5"/>
      <c r="AG36" s="5"/>
      <c r="AH36" s="5"/>
      <c r="AI36" s="5"/>
      <c r="AJ36" s="5"/>
      <c r="AK36" s="5"/>
      <c r="AL36" s="5"/>
      <c r="AM36" s="1"/>
      <c r="AN36" s="1"/>
      <c r="AO36" s="1"/>
      <c r="AP36" s="1"/>
      <c r="AQ36" s="1"/>
      <c r="AR36" s="1"/>
      <c r="AS36" s="1"/>
      <c r="AT36" s="1"/>
      <c r="AU36" s="1"/>
      <c r="AV36" s="1"/>
      <c r="AW36" s="1"/>
      <c r="AX36" s="1"/>
      <c r="AY36" s="1"/>
    </row>
    <row r="37" spans="1:51" ht="15" customHeight="1" thickTop="1" thickBot="1" x14ac:dyDescent="0.55000000000000004">
      <c r="A37" s="5"/>
      <c r="B37" s="323"/>
      <c r="C37" s="324"/>
      <c r="D37" s="324"/>
      <c r="E37" s="324"/>
      <c r="F37" s="324"/>
      <c r="G37" s="324"/>
      <c r="H37" s="324"/>
      <c r="I37" s="324"/>
      <c r="J37" s="324"/>
      <c r="K37" s="324"/>
      <c r="L37" s="325"/>
      <c r="M37" s="325"/>
      <c r="N37" s="325"/>
      <c r="O37" s="325"/>
      <c r="P37" s="325"/>
      <c r="Q37" s="325"/>
      <c r="R37" s="325"/>
      <c r="S37" s="325"/>
      <c r="T37" s="325"/>
      <c r="U37" s="325"/>
      <c r="V37" s="325"/>
      <c r="W37" s="325"/>
      <c r="X37" s="325"/>
      <c r="Y37" s="326"/>
      <c r="Z37" s="5"/>
      <c r="AA37" s="5"/>
      <c r="AB37" s="5"/>
      <c r="AC37" s="5"/>
      <c r="AD37" s="5"/>
      <c r="AE37" s="5"/>
      <c r="AF37" s="5"/>
      <c r="AG37" s="5"/>
      <c r="AH37" s="5"/>
      <c r="AI37" s="5"/>
      <c r="AJ37" s="5"/>
      <c r="AK37" s="5"/>
      <c r="AL37" s="5"/>
      <c r="AM37" s="1"/>
      <c r="AN37" s="1"/>
      <c r="AO37" s="1"/>
      <c r="AP37" s="1"/>
      <c r="AQ37" s="1"/>
      <c r="AR37" s="1"/>
      <c r="AS37" s="1"/>
      <c r="AT37" s="1"/>
      <c r="AU37" s="1"/>
      <c r="AV37" s="1"/>
      <c r="AW37" s="1"/>
      <c r="AX37" s="1"/>
      <c r="AY37" s="1"/>
    </row>
    <row r="38" spans="1:51" ht="22.25" customHeight="1" thickTop="1" x14ac:dyDescent="0.5">
      <c r="A38" s="5"/>
      <c r="B38" s="330" t="s">
        <v>258</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27"/>
      <c r="AA38" s="327"/>
      <c r="AB38" s="327"/>
      <c r="AC38" s="327"/>
      <c r="AD38" s="327"/>
      <c r="AE38" s="327"/>
      <c r="AF38" s="327"/>
      <c r="AG38" s="327"/>
      <c r="AH38" s="327"/>
      <c r="AI38" s="327"/>
      <c r="AJ38" s="327"/>
      <c r="AK38" s="327"/>
      <c r="AL38" s="5"/>
      <c r="AM38" s="1"/>
      <c r="AN38" s="1"/>
      <c r="AO38" s="1"/>
      <c r="AP38" s="1"/>
      <c r="AQ38" s="1"/>
      <c r="AR38" s="1"/>
      <c r="AS38" s="1"/>
      <c r="AT38" s="1"/>
      <c r="AU38" s="1"/>
      <c r="AV38" s="1"/>
      <c r="AW38" s="1"/>
      <c r="AX38" s="1"/>
      <c r="AY38" s="1"/>
    </row>
    <row r="39" spans="1:51" x14ac:dyDescent="0.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1"/>
      <c r="AN39" s="1"/>
      <c r="AO39" s="1"/>
      <c r="AP39" s="1"/>
      <c r="AQ39" s="1"/>
      <c r="AR39" s="1"/>
      <c r="AS39" s="1"/>
      <c r="AT39" s="1"/>
      <c r="AU39" s="1"/>
      <c r="AV39" s="1"/>
      <c r="AW39" s="1"/>
      <c r="AX39" s="1"/>
      <c r="AY39" s="1"/>
    </row>
    <row r="40" spans="1:51" x14ac:dyDescent="0.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1"/>
      <c r="AN40" s="1"/>
      <c r="AO40" s="1"/>
      <c r="AP40" s="1"/>
      <c r="AQ40" s="1"/>
      <c r="AR40" s="1"/>
      <c r="AS40" s="1"/>
      <c r="AT40" s="1"/>
      <c r="AU40" s="1"/>
      <c r="AV40" s="1"/>
      <c r="AW40" s="1"/>
      <c r="AX40" s="1"/>
      <c r="AY40" s="1"/>
    </row>
    <row r="41" spans="1:51" x14ac:dyDescent="0.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1"/>
      <c r="AN41" s="1"/>
      <c r="AO41" s="1"/>
      <c r="AP41" s="1"/>
      <c r="AQ41" s="1"/>
      <c r="AR41" s="1"/>
      <c r="AS41" s="1"/>
      <c r="AT41" s="1"/>
      <c r="AU41" s="1"/>
      <c r="AV41" s="1"/>
      <c r="AW41" s="1"/>
      <c r="AX41" s="1"/>
      <c r="AY41" s="1"/>
    </row>
    <row r="42" spans="1:51" x14ac:dyDescent="0.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1"/>
      <c r="AN42" s="1"/>
      <c r="AO42" s="1"/>
      <c r="AP42" s="1"/>
      <c r="AQ42" s="1"/>
      <c r="AR42" s="1"/>
      <c r="AS42" s="1"/>
      <c r="AT42" s="1"/>
      <c r="AU42" s="1"/>
      <c r="AV42" s="1"/>
      <c r="AW42" s="1"/>
      <c r="AX42" s="1"/>
      <c r="AY42" s="1"/>
    </row>
    <row r="43" spans="1:51" x14ac:dyDescent="0.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1"/>
      <c r="AN43" s="1"/>
      <c r="AO43" s="1"/>
      <c r="AP43" s="1"/>
      <c r="AQ43" s="1"/>
      <c r="AR43" s="1"/>
      <c r="AS43" s="1"/>
      <c r="AT43" s="1"/>
      <c r="AU43" s="1"/>
      <c r="AV43" s="1"/>
      <c r="AW43" s="1"/>
      <c r="AX43" s="1"/>
      <c r="AY43" s="1"/>
    </row>
    <row r="44" spans="1:51" x14ac:dyDescent="0.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1"/>
      <c r="AN44" s="1"/>
      <c r="AO44" s="1"/>
      <c r="AP44" s="1"/>
      <c r="AQ44" s="1"/>
      <c r="AR44" s="1"/>
      <c r="AS44" s="1"/>
      <c r="AT44" s="1"/>
      <c r="AU44" s="1"/>
      <c r="AV44" s="1"/>
      <c r="AW44" s="1"/>
      <c r="AX44" s="1"/>
      <c r="AY44" s="1"/>
    </row>
    <row r="45" spans="1:51" x14ac:dyDescent="0.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1"/>
      <c r="AN45" s="1"/>
      <c r="AO45" s="1"/>
      <c r="AP45" s="1"/>
      <c r="AQ45" s="1"/>
      <c r="AR45" s="1"/>
      <c r="AS45" s="1"/>
      <c r="AT45" s="1"/>
      <c r="AU45" s="1"/>
      <c r="AV45" s="1"/>
      <c r="AW45" s="1"/>
      <c r="AX45" s="1"/>
      <c r="AY45" s="1"/>
    </row>
    <row r="46" spans="1:51" x14ac:dyDescent="0.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1"/>
      <c r="AN46" s="1"/>
      <c r="AO46" s="1"/>
      <c r="AP46" s="1"/>
      <c r="AQ46" s="1"/>
      <c r="AR46" s="1"/>
      <c r="AS46" s="1"/>
      <c r="AT46" s="1"/>
      <c r="AU46" s="1"/>
      <c r="AV46" s="1"/>
      <c r="AW46" s="1"/>
      <c r="AX46" s="1"/>
      <c r="AY46" s="1"/>
    </row>
    <row r="47" spans="1:51" x14ac:dyDescent="0.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1"/>
      <c r="AN47" s="1"/>
      <c r="AO47" s="1"/>
      <c r="AP47" s="1"/>
      <c r="AQ47" s="1"/>
      <c r="AR47" s="1"/>
      <c r="AS47" s="1"/>
      <c r="AT47" s="1"/>
      <c r="AU47" s="1"/>
      <c r="AV47" s="1"/>
      <c r="AW47" s="1"/>
      <c r="AX47" s="1"/>
      <c r="AY47" s="1"/>
    </row>
    <row r="48" spans="1:51" x14ac:dyDescent="0.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1"/>
      <c r="AN48" s="1"/>
      <c r="AO48" s="1"/>
      <c r="AP48" s="1"/>
      <c r="AQ48" s="1"/>
      <c r="AR48" s="1"/>
      <c r="AS48" s="1"/>
      <c r="AT48" s="1"/>
      <c r="AU48" s="1"/>
      <c r="AV48" s="1"/>
      <c r="AW48" s="1"/>
      <c r="AX48" s="1"/>
      <c r="AY48" s="1"/>
    </row>
    <row r="49" spans="1:51" x14ac:dyDescent="0.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1"/>
      <c r="AN49" s="1"/>
      <c r="AO49" s="1"/>
      <c r="AP49" s="1"/>
      <c r="AQ49" s="1"/>
      <c r="AR49" s="1"/>
      <c r="AS49" s="1"/>
      <c r="AT49" s="1"/>
      <c r="AU49" s="1"/>
      <c r="AV49" s="1"/>
      <c r="AW49" s="1"/>
      <c r="AX49" s="1"/>
      <c r="AY49" s="1"/>
    </row>
    <row r="50" spans="1:51" x14ac:dyDescent="0.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1"/>
      <c r="AN50" s="1"/>
      <c r="AO50" s="1"/>
      <c r="AP50" s="1"/>
      <c r="AQ50" s="1"/>
      <c r="AR50" s="1"/>
      <c r="AS50" s="1"/>
      <c r="AT50" s="1"/>
      <c r="AU50" s="1"/>
      <c r="AV50" s="1"/>
      <c r="AW50" s="1"/>
      <c r="AX50" s="1"/>
      <c r="AY50" s="1"/>
    </row>
    <row r="51" spans="1:51" x14ac:dyDescent="0.5">
      <c r="A51" s="1"/>
      <c r="B51" s="1"/>
      <c r="C51" s="1"/>
      <c r="D51" s="1"/>
      <c r="E51" s="1"/>
      <c r="F51" s="1"/>
      <c r="G51" s="1"/>
      <c r="I51" s="1"/>
      <c r="J51" s="1"/>
      <c r="L51" s="1"/>
      <c r="AB51" s="1"/>
      <c r="AC51" s="1"/>
      <c r="AD51" s="1"/>
      <c r="AE51" s="1"/>
      <c r="AH51" s="1"/>
      <c r="AI51" s="1"/>
      <c r="AJ51" s="1"/>
      <c r="AK51" s="1"/>
      <c r="AL51" s="1"/>
      <c r="AM51" s="1"/>
      <c r="AN51" s="1"/>
      <c r="AO51" s="1"/>
      <c r="AP51" s="1"/>
      <c r="AQ51" s="1"/>
      <c r="AR51" s="1"/>
      <c r="AS51" s="1"/>
      <c r="AT51" s="1"/>
      <c r="AU51" s="1"/>
      <c r="AV51" s="1"/>
      <c r="AW51" s="1"/>
      <c r="AX51" s="1"/>
      <c r="AY51" s="1"/>
    </row>
    <row r="52" spans="1:51" x14ac:dyDescent="0.5">
      <c r="A52" s="1"/>
      <c r="B52" s="1"/>
      <c r="C52" s="1"/>
      <c r="D52" s="1"/>
      <c r="E52" s="1"/>
      <c r="F52" s="1"/>
      <c r="G52" s="1"/>
      <c r="I52" s="1"/>
      <c r="J52" s="1"/>
      <c r="L52" s="1"/>
      <c r="AB52" s="1"/>
      <c r="AC52" s="1"/>
      <c r="AD52" s="1"/>
      <c r="AE52" s="1"/>
      <c r="AH52" s="1"/>
      <c r="AI52" s="1"/>
      <c r="AJ52" s="1"/>
      <c r="AK52" s="1"/>
      <c r="AL52" s="1"/>
      <c r="AM52" s="1"/>
      <c r="AN52" s="1"/>
      <c r="AO52" s="1"/>
      <c r="AP52" s="1"/>
      <c r="AQ52" s="1"/>
      <c r="AR52" s="1"/>
      <c r="AS52" s="1"/>
      <c r="AT52" s="1"/>
      <c r="AU52" s="1"/>
      <c r="AV52" s="1"/>
      <c r="AW52" s="1"/>
      <c r="AX52" s="1"/>
      <c r="AY52" s="1"/>
    </row>
    <row r="53" spans="1:51" x14ac:dyDescent="0.5">
      <c r="A53" s="1"/>
      <c r="B53" s="1"/>
      <c r="C53" s="1"/>
      <c r="D53" s="1"/>
      <c r="E53" s="1"/>
      <c r="F53" s="1"/>
      <c r="G53" s="1"/>
      <c r="I53" s="1"/>
      <c r="J53" s="1"/>
      <c r="L53" s="1"/>
      <c r="AB53" s="1"/>
      <c r="AC53" s="1"/>
      <c r="AD53" s="1"/>
      <c r="AE53" s="1"/>
      <c r="AH53" s="1"/>
      <c r="AI53" s="1"/>
      <c r="AJ53" s="1"/>
      <c r="AK53" s="1"/>
      <c r="AL53" s="1"/>
      <c r="AM53" s="1"/>
      <c r="AN53" s="1"/>
      <c r="AO53" s="1"/>
      <c r="AP53" s="1"/>
      <c r="AQ53" s="1"/>
      <c r="AR53" s="1"/>
      <c r="AS53" s="1"/>
      <c r="AT53" s="1"/>
      <c r="AU53" s="1"/>
      <c r="AV53" s="1"/>
      <c r="AW53" s="1"/>
      <c r="AX53" s="1"/>
      <c r="AY53" s="1"/>
    </row>
    <row r="54" spans="1:51" x14ac:dyDescent="0.5">
      <c r="A54" s="1"/>
      <c r="B54" s="1"/>
      <c r="C54" s="1"/>
      <c r="D54" s="1"/>
      <c r="E54" s="1"/>
      <c r="F54" s="1"/>
      <c r="G54" s="1"/>
      <c r="I54" s="1"/>
      <c r="J54" s="1"/>
      <c r="L54" s="1"/>
      <c r="AB54" s="1"/>
      <c r="AC54" s="1"/>
      <c r="AD54" s="1"/>
      <c r="AE54" s="1"/>
      <c r="AH54" s="1"/>
      <c r="AI54" s="1"/>
      <c r="AJ54" s="1"/>
      <c r="AK54" s="1"/>
      <c r="AL54" s="1"/>
      <c r="AM54" s="1"/>
      <c r="AN54" s="1"/>
      <c r="AO54" s="1"/>
      <c r="AP54" s="1"/>
      <c r="AQ54" s="1"/>
      <c r="AR54" s="1"/>
      <c r="AS54" s="1"/>
      <c r="AT54" s="1"/>
      <c r="AU54" s="1"/>
      <c r="AV54" s="1"/>
      <c r="AW54" s="1"/>
      <c r="AX54" s="1"/>
      <c r="AY54" s="1"/>
    </row>
    <row r="55" spans="1:51" x14ac:dyDescent="0.5">
      <c r="A55" s="1"/>
      <c r="B55" s="1"/>
      <c r="C55" s="1"/>
      <c r="D55" s="1"/>
      <c r="E55" s="1"/>
      <c r="F55" s="1"/>
      <c r="G55" s="1"/>
      <c r="I55" s="1"/>
      <c r="J55" s="1"/>
      <c r="L55" s="1"/>
      <c r="AB55" s="1"/>
      <c r="AC55" s="1"/>
      <c r="AD55" s="1"/>
      <c r="AE55" s="1"/>
      <c r="AH55" s="1"/>
      <c r="AI55" s="1"/>
      <c r="AJ55" s="1"/>
      <c r="AK55" s="1"/>
      <c r="AL55" s="1"/>
      <c r="AM55" s="1"/>
      <c r="AN55" s="1"/>
      <c r="AO55" s="1"/>
      <c r="AP55" s="1"/>
      <c r="AQ55" s="1"/>
      <c r="AR55" s="1"/>
      <c r="AS55" s="1"/>
      <c r="AT55" s="1"/>
      <c r="AU55" s="1"/>
      <c r="AV55" s="1"/>
      <c r="AW55" s="1"/>
      <c r="AX55" s="1"/>
      <c r="AY55" s="1"/>
    </row>
    <row r="56" spans="1:51" x14ac:dyDescent="0.5">
      <c r="A56" s="1"/>
      <c r="B56" s="1"/>
      <c r="C56" s="1"/>
      <c r="D56" s="1"/>
      <c r="E56" s="1"/>
      <c r="F56" s="1"/>
      <c r="G56" s="1"/>
      <c r="I56" s="1"/>
      <c r="J56" s="1"/>
      <c r="L56" s="1"/>
      <c r="AB56" s="1"/>
      <c r="AC56" s="1"/>
      <c r="AD56" s="1"/>
      <c r="AE56" s="1"/>
      <c r="AH56" s="1"/>
      <c r="AI56" s="1"/>
      <c r="AJ56" s="1"/>
      <c r="AK56" s="1"/>
      <c r="AL56" s="1"/>
      <c r="AM56" s="1"/>
      <c r="AN56" s="1"/>
      <c r="AO56" s="1"/>
      <c r="AP56" s="1"/>
      <c r="AQ56" s="1"/>
      <c r="AR56" s="1"/>
      <c r="AS56" s="1"/>
      <c r="AT56" s="1"/>
      <c r="AU56" s="1"/>
      <c r="AV56" s="1"/>
      <c r="AW56" s="1"/>
      <c r="AX56" s="1"/>
      <c r="AY56" s="1"/>
    </row>
    <row r="57" spans="1:51" x14ac:dyDescent="0.5">
      <c r="A57" s="1"/>
      <c r="B57" s="1"/>
      <c r="C57" s="1"/>
      <c r="D57" s="1"/>
      <c r="E57" s="1"/>
      <c r="F57" s="1"/>
      <c r="G57" s="1"/>
      <c r="I57" s="1"/>
      <c r="J57" s="1"/>
      <c r="L57" s="1"/>
      <c r="AB57" s="1"/>
      <c r="AC57" s="1"/>
      <c r="AD57" s="1"/>
      <c r="AE57" s="1"/>
      <c r="AH57" s="1"/>
      <c r="AI57" s="1"/>
      <c r="AJ57" s="1"/>
      <c r="AK57" s="1"/>
      <c r="AL57" s="1"/>
      <c r="AM57" s="1"/>
      <c r="AN57" s="1"/>
      <c r="AO57" s="1"/>
      <c r="AP57" s="1"/>
      <c r="AQ57" s="1"/>
      <c r="AR57" s="1"/>
      <c r="AS57" s="1"/>
      <c r="AT57" s="1"/>
      <c r="AU57" s="1"/>
      <c r="AV57" s="1"/>
      <c r="AW57" s="1"/>
      <c r="AX57" s="1"/>
      <c r="AY57" s="1"/>
    </row>
    <row r="58" spans="1:51" x14ac:dyDescent="0.5">
      <c r="A58" s="1"/>
      <c r="B58" s="1"/>
      <c r="C58" s="1"/>
      <c r="D58" s="1"/>
      <c r="E58" s="1"/>
      <c r="F58" s="1"/>
      <c r="G58" s="1"/>
      <c r="I58" s="1"/>
      <c r="J58" s="1"/>
      <c r="L58" s="1"/>
      <c r="AB58" s="1"/>
      <c r="AC58" s="1"/>
      <c r="AD58" s="1"/>
      <c r="AE58" s="1"/>
      <c r="AH58" s="1"/>
      <c r="AI58" s="1"/>
      <c r="AJ58" s="1"/>
      <c r="AK58" s="1"/>
      <c r="AL58" s="1"/>
      <c r="AM58" s="1"/>
      <c r="AN58" s="1"/>
      <c r="AO58" s="1"/>
      <c r="AP58" s="1"/>
      <c r="AQ58" s="1"/>
      <c r="AR58" s="1"/>
      <c r="AS58" s="1"/>
      <c r="AT58" s="1"/>
      <c r="AU58" s="1"/>
      <c r="AV58" s="1"/>
      <c r="AW58" s="1"/>
      <c r="AX58" s="1"/>
      <c r="AY58" s="1"/>
    </row>
    <row r="59" spans="1:51" x14ac:dyDescent="0.5">
      <c r="A59" s="1"/>
      <c r="B59" s="1"/>
      <c r="C59" s="1"/>
      <c r="D59" s="1"/>
      <c r="E59" s="1"/>
      <c r="F59" s="1"/>
      <c r="G59" s="1"/>
      <c r="I59" s="1"/>
      <c r="J59" s="1"/>
      <c r="L59" s="1"/>
      <c r="AB59" s="1"/>
      <c r="AC59" s="1"/>
      <c r="AD59" s="1"/>
      <c r="AE59" s="1"/>
      <c r="AH59" s="1"/>
      <c r="AI59" s="1"/>
      <c r="AJ59" s="1"/>
      <c r="AK59" s="1"/>
      <c r="AL59" s="1"/>
      <c r="AM59" s="1"/>
      <c r="AN59" s="1"/>
      <c r="AO59" s="1"/>
      <c r="AP59" s="1"/>
      <c r="AQ59" s="1"/>
      <c r="AR59" s="1"/>
      <c r="AS59" s="1"/>
      <c r="AT59" s="1"/>
      <c r="AU59" s="1"/>
      <c r="AV59" s="1"/>
      <c r="AW59" s="1"/>
      <c r="AX59" s="1"/>
      <c r="AY59" s="1"/>
    </row>
    <row r="60" spans="1:51" x14ac:dyDescent="0.5">
      <c r="A60" s="1"/>
      <c r="B60" s="1"/>
      <c r="C60" s="1"/>
      <c r="D60" s="1"/>
      <c r="E60" s="1"/>
      <c r="F60" s="1"/>
      <c r="G60" s="1"/>
      <c r="I60" s="1"/>
      <c r="J60" s="1"/>
      <c r="L60" s="1"/>
      <c r="AB60" s="1"/>
      <c r="AC60" s="1"/>
      <c r="AD60" s="1"/>
      <c r="AE60" s="1"/>
      <c r="AH60" s="1"/>
      <c r="AI60" s="1"/>
      <c r="AJ60" s="1"/>
      <c r="AK60" s="1"/>
      <c r="AL60" s="1"/>
      <c r="AM60" s="1"/>
      <c r="AN60" s="1"/>
      <c r="AO60" s="1"/>
      <c r="AP60" s="1"/>
      <c r="AQ60" s="1"/>
      <c r="AR60" s="1"/>
      <c r="AS60" s="1"/>
      <c r="AT60" s="1"/>
      <c r="AU60" s="1"/>
      <c r="AV60" s="1"/>
      <c r="AW60" s="1"/>
      <c r="AX60" s="1"/>
      <c r="AY60" s="1"/>
    </row>
    <row r="61" spans="1:51" x14ac:dyDescent="0.5">
      <c r="A61" s="1"/>
      <c r="B61" s="1"/>
      <c r="C61" s="1"/>
      <c r="D61" s="1"/>
      <c r="E61" s="1"/>
      <c r="F61" s="1"/>
      <c r="G61" s="1"/>
      <c r="I61" s="1"/>
      <c r="J61" s="1"/>
      <c r="L61" s="1"/>
      <c r="AB61" s="1"/>
      <c r="AC61" s="1"/>
      <c r="AD61" s="1"/>
      <c r="AE61" s="1"/>
      <c r="AH61" s="1"/>
      <c r="AI61" s="1"/>
      <c r="AJ61" s="1"/>
      <c r="AK61" s="1"/>
      <c r="AL61" s="1"/>
      <c r="AM61" s="1"/>
      <c r="AN61" s="1"/>
      <c r="AO61" s="1"/>
      <c r="AP61" s="1"/>
      <c r="AQ61" s="1"/>
      <c r="AR61" s="1"/>
      <c r="AS61" s="1"/>
      <c r="AT61" s="1"/>
      <c r="AU61" s="1"/>
      <c r="AV61" s="1"/>
      <c r="AW61" s="1"/>
      <c r="AX61" s="1"/>
      <c r="AY61" s="1"/>
    </row>
    <row r="62" spans="1:51" x14ac:dyDescent="0.5">
      <c r="A62" s="1"/>
      <c r="B62" s="1"/>
      <c r="C62" s="1"/>
      <c r="D62" s="1"/>
      <c r="E62" s="1"/>
      <c r="F62" s="1"/>
      <c r="G62" s="1"/>
      <c r="I62" s="1"/>
      <c r="J62" s="1"/>
      <c r="L62" s="1"/>
      <c r="AB62" s="1"/>
      <c r="AC62" s="1"/>
      <c r="AD62" s="1"/>
      <c r="AE62" s="1"/>
      <c r="AH62" s="1"/>
      <c r="AI62" s="1"/>
      <c r="AJ62" s="1"/>
      <c r="AK62" s="1"/>
      <c r="AL62" s="1"/>
      <c r="AM62" s="1"/>
      <c r="AN62" s="1"/>
      <c r="AO62" s="1"/>
      <c r="AP62" s="1"/>
      <c r="AQ62" s="1"/>
      <c r="AR62" s="1"/>
      <c r="AS62" s="1"/>
      <c r="AT62" s="1"/>
      <c r="AU62" s="1"/>
      <c r="AV62" s="1"/>
      <c r="AW62" s="1"/>
      <c r="AX62" s="1"/>
      <c r="AY62" s="1"/>
    </row>
    <row r="63" spans="1:51" x14ac:dyDescent="0.5">
      <c r="A63" s="1"/>
      <c r="B63" s="1"/>
      <c r="C63" s="1"/>
      <c r="D63" s="1"/>
      <c r="E63" s="1"/>
      <c r="F63" s="1"/>
      <c r="G63" s="1"/>
      <c r="I63" s="1"/>
      <c r="J63" s="1"/>
      <c r="L63" s="1"/>
      <c r="AB63" s="1"/>
      <c r="AC63" s="1"/>
      <c r="AD63" s="1"/>
      <c r="AE63" s="1"/>
    </row>
  </sheetData>
  <sheetProtection algorithmName="SHA-512" hashValue="lIzymmsBvLFOszajxDVZdaI0etrXh8XTwkZWEpSYELy2eILbUQScMT3o8k8AuYFOKZzWf27SujF8R3LoxEjQ7w==" saltValue="4XGCSUZBz/fsvu2PFT0kkQ==" spinCount="100000" sheet="1" objects="1" scenarios="1" selectLockedCells="1"/>
  <mergeCells count="18">
    <mergeCell ref="G2:Q2"/>
    <mergeCell ref="S6:T6"/>
    <mergeCell ref="C6:Q6"/>
    <mergeCell ref="V6:X6"/>
    <mergeCell ref="G4:H4"/>
    <mergeCell ref="J4:K4"/>
    <mergeCell ref="M4:N4"/>
    <mergeCell ref="P4:Q4"/>
    <mergeCell ref="B38:Y38"/>
    <mergeCell ref="V23:V25"/>
    <mergeCell ref="W23:W25"/>
    <mergeCell ref="X23:X25"/>
    <mergeCell ref="V20:V22"/>
    <mergeCell ref="W20:W22"/>
    <mergeCell ref="X20:X22"/>
    <mergeCell ref="V26:V28"/>
    <mergeCell ref="W26:W28"/>
    <mergeCell ref="X26:X28"/>
  </mergeCells>
  <conditionalFormatting sqref="W20">
    <cfRule type="cellIs" dxfId="3" priority="6" operator="lessThan">
      <formula>0</formula>
    </cfRule>
  </conditionalFormatting>
  <conditionalFormatting sqref="X20">
    <cfRule type="expression" dxfId="2" priority="4">
      <formula>$W$20&lt;0</formula>
    </cfRule>
  </conditionalFormatting>
  <conditionalFormatting sqref="W23">
    <cfRule type="cellIs" dxfId="1" priority="3" operator="lessThan">
      <formula>0</formula>
    </cfRule>
  </conditionalFormatting>
  <conditionalFormatting sqref="X23">
    <cfRule type="expression" dxfId="0" priority="9">
      <formula>$W$23&lt;0</formula>
    </cfRule>
  </conditionalFormatting>
  <dataValidations count="10">
    <dataValidation type="list" allowBlank="1" showInputMessage="1" showErrorMessage="1" sqref="D27" xr:uid="{00000000-0002-0000-0200-000000000000}">
      <formula1>Sprayer_type</formula1>
    </dataValidation>
    <dataValidation type="list" allowBlank="1" showInputMessage="1" showErrorMessage="1" sqref="D28" xr:uid="{00000000-0002-0000-0200-000001000000}">
      <formula1>Fertilizer_spreader_type</formula1>
    </dataValidation>
    <dataValidation type="list" allowBlank="1" showInputMessage="1" showErrorMessage="1" sqref="D31" xr:uid="{00000000-0002-0000-0200-000002000000}">
      <formula1>Harvester_type</formula1>
    </dataValidation>
    <dataValidation type="list" allowBlank="1" showInputMessage="1" showErrorMessage="1" sqref="D32" xr:uid="{00000000-0002-0000-0200-000003000000}">
      <formula1>Harvester_ownership</formula1>
    </dataValidation>
    <dataValidation type="list" allowBlank="1" showInputMessage="1" showErrorMessage="1" sqref="D33" xr:uid="{00000000-0002-0000-0200-000004000000}">
      <formula1>Trucking_type</formula1>
    </dataValidation>
    <dataValidation type="list" allowBlank="1" showInputMessage="1" showErrorMessage="1" sqref="D34" xr:uid="{00000000-0002-0000-0200-000005000000}">
      <formula1>Pruning_method</formula1>
    </dataValidation>
    <dataValidation type="list" allowBlank="1" showInputMessage="1" showErrorMessage="1" sqref="D35" xr:uid="{00000000-0002-0000-0200-000006000000}">
      <formula1>Pruning_ownership</formula1>
    </dataValidation>
    <dataValidation type="list" allowBlank="1" showInputMessage="1" showErrorMessage="1" sqref="D29" xr:uid="{00000000-0002-0000-0200-000007000000}">
      <formula1>Pollination_input</formula1>
    </dataValidation>
    <dataValidation type="list" allowBlank="1" showInputMessage="1" showErrorMessage="1" sqref="G7:G25 J7:J25 M7:M25 P7:P25" xr:uid="{00000000-0002-0000-0200-000008000000}">
      <formula1>Number_of_applications</formula1>
    </dataValidation>
    <dataValidation type="list" allowBlank="1" showInputMessage="1" showErrorMessage="1" sqref="D30" xr:uid="{00000000-0002-0000-0200-000009000000}">
      <formula1>Bumble_bee_quadss</formula1>
    </dataValidation>
  </dataValidations>
  <pageMargins left="0.7" right="0.7" top="0.75" bottom="0.75" header="0.3" footer="0.3"/>
  <pageSetup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Z70"/>
  <sheetViews>
    <sheetView topLeftCell="A2" zoomScale="80" zoomScaleNormal="80" workbookViewId="0">
      <selection sqref="A1:U1"/>
    </sheetView>
  </sheetViews>
  <sheetFormatPr defaultRowHeight="14.35" x14ac:dyDescent="0.5"/>
  <cols>
    <col min="1" max="1" width="3.87890625" customWidth="1"/>
    <col min="21" max="21" width="7.8203125" customWidth="1"/>
    <col min="24" max="24" width="13.3515625" customWidth="1"/>
    <col min="25" max="25" width="14.05859375" customWidth="1"/>
    <col min="26" max="26" width="25.703125" customWidth="1"/>
    <col min="27" max="27" width="12.41015625" customWidth="1"/>
    <col min="29" max="29" width="17.234375" customWidth="1"/>
    <col min="30" max="30" width="26.64453125" customWidth="1"/>
    <col min="31" max="31" width="28.3515625" customWidth="1"/>
    <col min="32" max="32" width="12.8203125" customWidth="1"/>
    <col min="34" max="34" width="26.52734375" customWidth="1"/>
  </cols>
  <sheetData>
    <row r="1" spans="1:52" hidden="1" x14ac:dyDescent="0.5">
      <c r="A1" s="328"/>
      <c r="B1" s="328"/>
      <c r="C1" s="328"/>
      <c r="D1" s="328"/>
      <c r="E1" s="328"/>
      <c r="F1" s="328"/>
      <c r="G1" s="328"/>
      <c r="H1" s="328"/>
      <c r="I1" s="328"/>
      <c r="J1" s="328"/>
      <c r="K1" s="328"/>
      <c r="L1" s="328"/>
      <c r="M1" s="328"/>
      <c r="N1" s="328"/>
      <c r="O1" s="328"/>
      <c r="P1" s="328"/>
      <c r="Q1" s="328"/>
      <c r="R1" s="328"/>
      <c r="S1" s="328"/>
      <c r="T1" s="328"/>
      <c r="U1" s="328"/>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row>
    <row r="2" spans="1:52" ht="28.95" customHeight="1" thickBot="1" x14ac:dyDescent="0.55000000000000004">
      <c r="A2" s="39"/>
      <c r="B2" s="39"/>
      <c r="C2" s="39"/>
      <c r="D2" s="39"/>
      <c r="E2" s="39"/>
      <c r="F2" s="39"/>
      <c r="G2" s="39"/>
      <c r="H2" s="39"/>
      <c r="I2" s="39"/>
      <c r="J2" s="226"/>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10"/>
      <c r="AP2" s="10"/>
      <c r="AQ2" s="10"/>
      <c r="AR2" s="10"/>
      <c r="AS2" s="10"/>
      <c r="AT2" s="10"/>
      <c r="AU2" s="10"/>
      <c r="AV2" s="10"/>
      <c r="AW2" s="10"/>
      <c r="AX2" s="10"/>
      <c r="AY2" s="10"/>
      <c r="AZ2" s="10"/>
    </row>
    <row r="3" spans="1:52" ht="17.350000000000001" customHeight="1" thickTop="1" thickBot="1" x14ac:dyDescent="0.55000000000000004">
      <c r="A3" s="10"/>
      <c r="B3" s="365" t="str">
        <f>("Break even Charts    ---&gt;    "&amp;'User input'!D7 &amp; " - "&amp; 'User input'!D8)</f>
        <v>Break even Charts    ---&gt;    Blueberry Field #1 - November 19, 2021</v>
      </c>
      <c r="C3" s="368"/>
      <c r="D3" s="368"/>
      <c r="E3" s="368"/>
      <c r="F3" s="368"/>
      <c r="G3" s="368"/>
      <c r="H3" s="368"/>
      <c r="I3" s="368"/>
      <c r="J3" s="368"/>
      <c r="K3" s="368"/>
      <c r="L3" s="368"/>
      <c r="M3" s="368"/>
      <c r="N3" s="368"/>
      <c r="O3" s="368"/>
      <c r="P3" s="368"/>
      <c r="Q3" s="368"/>
      <c r="R3" s="368"/>
      <c r="S3" s="368"/>
      <c r="T3" s="368"/>
      <c r="U3" s="369"/>
      <c r="V3" s="10"/>
      <c r="W3" s="10"/>
      <c r="X3" s="362" t="s">
        <v>57</v>
      </c>
      <c r="Y3" s="363"/>
      <c r="Z3" s="363"/>
      <c r="AA3" s="364"/>
      <c r="AB3" s="5"/>
      <c r="AC3" s="365" t="s">
        <v>56</v>
      </c>
      <c r="AD3" s="366"/>
      <c r="AE3" s="366"/>
      <c r="AF3" s="367"/>
      <c r="AG3" s="10"/>
      <c r="AH3" s="68" t="s">
        <v>122</v>
      </c>
      <c r="AI3" s="10"/>
      <c r="AJ3" s="10"/>
      <c r="AK3" s="10"/>
      <c r="AL3" s="10"/>
      <c r="AM3" s="10"/>
      <c r="AN3" s="10"/>
      <c r="AO3" s="10"/>
      <c r="AP3" s="10"/>
      <c r="AQ3" s="10"/>
      <c r="AR3" s="10"/>
      <c r="AS3" s="10"/>
      <c r="AT3" s="10"/>
      <c r="AU3" s="10"/>
      <c r="AV3" s="10"/>
      <c r="AW3" s="10"/>
      <c r="AX3" s="10"/>
      <c r="AY3" s="10"/>
      <c r="AZ3" s="10"/>
    </row>
    <row r="4" spans="1:52" ht="14.7" thickTop="1" x14ac:dyDescent="0.5">
      <c r="A4" s="10"/>
      <c r="B4" s="10"/>
      <c r="C4" s="10"/>
      <c r="D4" s="10"/>
      <c r="E4" s="10"/>
      <c r="F4" s="10"/>
      <c r="G4" s="10"/>
      <c r="H4" s="10"/>
      <c r="I4" s="10"/>
      <c r="J4" s="10"/>
      <c r="K4" s="10"/>
      <c r="L4" s="10"/>
      <c r="M4" s="10"/>
      <c r="N4" s="10"/>
      <c r="O4" s="10"/>
      <c r="P4" s="10"/>
      <c r="Q4" s="10"/>
      <c r="R4" s="10"/>
      <c r="S4" s="10"/>
      <c r="T4" s="10"/>
      <c r="U4" s="10"/>
      <c r="V4" s="10"/>
      <c r="W4" s="10"/>
      <c r="X4" s="43" t="s">
        <v>48</v>
      </c>
      <c r="Y4" s="44" t="s">
        <v>52</v>
      </c>
      <c r="Z4" s="44" t="s">
        <v>54</v>
      </c>
      <c r="AA4" s="45" t="s">
        <v>231</v>
      </c>
      <c r="AB4" s="5"/>
      <c r="AC4" s="58" t="s">
        <v>55</v>
      </c>
      <c r="AD4" s="59" t="s">
        <v>119</v>
      </c>
      <c r="AE4" s="59" t="s">
        <v>54</v>
      </c>
      <c r="AF4" s="60" t="s">
        <v>231</v>
      </c>
      <c r="AG4" s="10"/>
      <c r="AH4" s="67" t="s">
        <v>231</v>
      </c>
      <c r="AI4" s="10"/>
      <c r="AJ4" s="10"/>
      <c r="AK4" s="10"/>
      <c r="AL4" s="10"/>
      <c r="AM4" s="10"/>
      <c r="AN4" s="10"/>
      <c r="AO4" s="10"/>
      <c r="AP4" s="10"/>
      <c r="AQ4" s="10"/>
      <c r="AR4" s="10"/>
      <c r="AS4" s="10"/>
      <c r="AT4" s="10"/>
      <c r="AU4" s="10"/>
      <c r="AV4" s="10"/>
      <c r="AW4" s="10"/>
      <c r="AX4" s="10"/>
      <c r="AY4" s="10"/>
      <c r="AZ4" s="10"/>
    </row>
    <row r="5" spans="1:52" x14ac:dyDescent="0.5">
      <c r="A5" s="10"/>
      <c r="B5" s="10"/>
      <c r="C5" s="10"/>
      <c r="D5" s="10"/>
      <c r="E5" s="10"/>
      <c r="F5" s="10"/>
      <c r="G5" s="10"/>
      <c r="H5" s="10"/>
      <c r="I5" s="10"/>
      <c r="J5" s="10"/>
      <c r="K5" s="10"/>
      <c r="L5" s="10"/>
      <c r="M5" s="10"/>
      <c r="N5" s="10"/>
      <c r="O5" s="10"/>
      <c r="P5" s="10"/>
      <c r="Q5" s="10"/>
      <c r="R5" s="10"/>
      <c r="S5" s="10"/>
      <c r="T5" s="10"/>
      <c r="U5" s="10"/>
      <c r="V5" s="10"/>
      <c r="W5" s="10"/>
      <c r="X5" s="46">
        <v>0</v>
      </c>
      <c r="Y5" s="47">
        <f>(X5*'User input'!$W$7)-'Price list'!$BE$25</f>
        <v>-1480</v>
      </c>
      <c r="Z5" s="47">
        <f>(X5*'User input'!$W$7)-'Price list'!$N$35</f>
        <v>-1480</v>
      </c>
      <c r="AA5" s="48">
        <v>0</v>
      </c>
      <c r="AB5" s="5"/>
      <c r="AC5" s="61">
        <v>0</v>
      </c>
      <c r="AD5" s="50">
        <f>-'Price list'!$BE$25</f>
        <v>-1480</v>
      </c>
      <c r="AE5" s="50">
        <f>-'Price list'!N35</f>
        <v>-1480</v>
      </c>
      <c r="AF5" s="51">
        <v>0</v>
      </c>
      <c r="AG5" s="10"/>
      <c r="AH5" s="65" t="s">
        <v>115</v>
      </c>
      <c r="AI5" s="10"/>
      <c r="AJ5" s="10"/>
      <c r="AK5" s="10"/>
      <c r="AL5" s="10"/>
      <c r="AM5" s="10"/>
      <c r="AN5" s="10"/>
      <c r="AO5" s="10"/>
      <c r="AP5" s="10"/>
      <c r="AQ5" s="10"/>
      <c r="AR5" s="10"/>
      <c r="AS5" s="10"/>
      <c r="AT5" s="10"/>
      <c r="AU5" s="10"/>
      <c r="AV5" s="10"/>
      <c r="AW5" s="10"/>
      <c r="AX5" s="10"/>
      <c r="AY5" s="10"/>
      <c r="AZ5" s="10"/>
    </row>
    <row r="6" spans="1:52" ht="14.7" thickBot="1" x14ac:dyDescent="0.55000000000000004">
      <c r="A6" s="10"/>
      <c r="B6" s="10"/>
      <c r="C6" s="10"/>
      <c r="D6" s="10"/>
      <c r="E6" s="10"/>
      <c r="F6" s="10"/>
      <c r="G6" s="10"/>
      <c r="H6" s="10"/>
      <c r="I6" s="10"/>
      <c r="J6" s="10"/>
      <c r="K6" s="10"/>
      <c r="L6" s="10"/>
      <c r="M6" s="10"/>
      <c r="N6" s="10"/>
      <c r="O6" s="10"/>
      <c r="P6" s="10"/>
      <c r="Q6" s="10"/>
      <c r="R6" s="10"/>
      <c r="S6" s="10"/>
      <c r="T6" s="10"/>
      <c r="U6" s="10"/>
      <c r="V6" s="10"/>
      <c r="W6" s="10"/>
      <c r="X6" s="49">
        <f t="shared" ref="X6:X20" si="0">X5+1000</f>
        <v>1000</v>
      </c>
      <c r="Y6" s="50">
        <f>(X6*'User input'!$W$7)-'Price list'!$BE$25</f>
        <v>-680</v>
      </c>
      <c r="Z6" s="50">
        <f>(X6*'User input'!$W$7)-'Price list'!$N$35</f>
        <v>-680</v>
      </c>
      <c r="AA6" s="51">
        <v>0</v>
      </c>
      <c r="AB6" s="5"/>
      <c r="AC6" s="61">
        <v>10</v>
      </c>
      <c r="AD6" s="47">
        <f>('User input'!$W$12*(AC6/100)*'User input'!$W$7)-'Price list'!$BE$25</f>
        <v>-786.66666666666663</v>
      </c>
      <c r="AE6" s="47">
        <f>('User input'!$W$12*(AC6/100)*'User input'!$W$7)-'Price list'!$N$35</f>
        <v>-786.66666666666663</v>
      </c>
      <c r="AF6" s="51">
        <v>0</v>
      </c>
      <c r="AG6" s="10"/>
      <c r="AH6" s="66" t="s">
        <v>116</v>
      </c>
      <c r="AI6" s="10"/>
      <c r="AJ6" s="10"/>
      <c r="AK6" s="10"/>
      <c r="AL6" s="10"/>
      <c r="AM6" s="10"/>
      <c r="AN6" s="10"/>
      <c r="AO6" s="10"/>
      <c r="AP6" s="10"/>
      <c r="AQ6" s="10"/>
      <c r="AR6" s="10"/>
      <c r="AS6" s="10"/>
      <c r="AT6" s="10"/>
      <c r="AU6" s="10"/>
      <c r="AV6" s="10"/>
      <c r="AW6" s="10"/>
      <c r="AX6" s="10"/>
      <c r="AY6" s="10"/>
      <c r="AZ6" s="10"/>
    </row>
    <row r="7" spans="1:52" ht="14.7" thickTop="1" x14ac:dyDescent="0.5">
      <c r="A7" s="10"/>
      <c r="B7" s="10"/>
      <c r="C7" s="10"/>
      <c r="D7" s="10"/>
      <c r="E7" s="10"/>
      <c r="F7" s="10"/>
      <c r="G7" s="10"/>
      <c r="H7" s="10"/>
      <c r="I7" s="10"/>
      <c r="J7" s="10"/>
      <c r="K7" s="10"/>
      <c r="L7" s="10"/>
      <c r="M7" s="10"/>
      <c r="N7" s="10"/>
      <c r="O7" s="10"/>
      <c r="P7" s="10"/>
      <c r="Q7" s="10"/>
      <c r="R7" s="10"/>
      <c r="S7" s="10"/>
      <c r="T7" s="10"/>
      <c r="U7" s="10"/>
      <c r="V7" s="10"/>
      <c r="W7" s="10"/>
      <c r="X7" s="49">
        <f t="shared" si="0"/>
        <v>2000</v>
      </c>
      <c r="Y7" s="50">
        <f>(X7*'User input'!$W$7)-'Price list'!$BE$25</f>
        <v>120</v>
      </c>
      <c r="Z7" s="50">
        <f>(X7*'User input'!$W$7)-'Price list'!$N$35</f>
        <v>120</v>
      </c>
      <c r="AA7" s="51">
        <v>0</v>
      </c>
      <c r="AB7" s="5"/>
      <c r="AC7" s="61">
        <v>20</v>
      </c>
      <c r="AD7" s="47">
        <f>('User input'!$W$12*(AC7/100)*'User input'!$W$7)-'Price list'!$BE$25</f>
        <v>-93.333333333333258</v>
      </c>
      <c r="AE7" s="47">
        <f>('User input'!$W$12*(AC7/100)*'User input'!$W$7)-'Price list'!$N$35</f>
        <v>-93.333333333333258</v>
      </c>
      <c r="AF7" s="51">
        <v>0</v>
      </c>
      <c r="AG7" s="10"/>
      <c r="AH7" s="10"/>
      <c r="AI7" s="10"/>
      <c r="AJ7" s="10"/>
      <c r="AK7" s="10"/>
      <c r="AL7" s="10"/>
      <c r="AM7" s="10"/>
      <c r="AN7" s="10"/>
      <c r="AO7" s="10"/>
      <c r="AP7" s="10"/>
      <c r="AQ7" s="10"/>
      <c r="AR7" s="10"/>
      <c r="AS7" s="10"/>
      <c r="AT7" s="10"/>
      <c r="AU7" s="10"/>
      <c r="AV7" s="10"/>
      <c r="AW7" s="10"/>
      <c r="AX7" s="10"/>
      <c r="AY7" s="10"/>
      <c r="AZ7" s="10"/>
    </row>
    <row r="8" spans="1:52" x14ac:dyDescent="0.5">
      <c r="A8" s="10"/>
      <c r="B8" s="10"/>
      <c r="C8" s="10"/>
      <c r="D8" s="10"/>
      <c r="E8" s="10"/>
      <c r="F8" s="10"/>
      <c r="G8" s="10"/>
      <c r="H8" s="10"/>
      <c r="I8" s="10"/>
      <c r="J8" s="10"/>
      <c r="K8" s="10"/>
      <c r="L8" s="10"/>
      <c r="M8" s="10"/>
      <c r="N8" s="10"/>
      <c r="O8" s="10"/>
      <c r="P8" s="10"/>
      <c r="Q8" s="10"/>
      <c r="R8" s="10"/>
      <c r="S8" s="10"/>
      <c r="T8" s="10"/>
      <c r="U8" s="10"/>
      <c r="V8" s="10"/>
      <c r="W8" s="10"/>
      <c r="X8" s="49">
        <f t="shared" si="0"/>
        <v>3000</v>
      </c>
      <c r="Y8" s="50">
        <f>(X8*'User input'!$W$7)-'Price list'!$BE$25</f>
        <v>920</v>
      </c>
      <c r="Z8" s="50">
        <f>(X8*'User input'!$W$7)-'Price list'!$N$35</f>
        <v>920</v>
      </c>
      <c r="AA8" s="51">
        <v>0</v>
      </c>
      <c r="AB8" s="5"/>
      <c r="AC8" s="61">
        <v>30</v>
      </c>
      <c r="AD8" s="47">
        <f>('User input'!$W$12*(AC8/100)*'User input'!$W$7)-'Price list'!$BE$25</f>
        <v>599.99999999999955</v>
      </c>
      <c r="AE8" s="47">
        <f>('User input'!$W$12*(AC8/100)*'User input'!$W$7)-'Price list'!$N$35</f>
        <v>599.99999999999955</v>
      </c>
      <c r="AF8" s="51">
        <v>0</v>
      </c>
      <c r="AG8" s="10"/>
      <c r="AH8" s="10"/>
      <c r="AI8" s="10"/>
      <c r="AJ8" s="10"/>
      <c r="AK8" s="10"/>
      <c r="AL8" s="10"/>
      <c r="AM8" s="10"/>
      <c r="AN8" s="10"/>
      <c r="AO8" s="10"/>
      <c r="AP8" s="10"/>
      <c r="AQ8" s="10"/>
      <c r="AR8" s="10"/>
      <c r="AS8" s="10"/>
      <c r="AT8" s="10"/>
      <c r="AU8" s="10"/>
      <c r="AV8" s="10"/>
      <c r="AW8" s="10"/>
      <c r="AX8" s="10"/>
      <c r="AY8" s="10"/>
      <c r="AZ8" s="10"/>
    </row>
    <row r="9" spans="1:52" x14ac:dyDescent="0.5">
      <c r="A9" s="10"/>
      <c r="B9" s="10"/>
      <c r="C9" s="10"/>
      <c r="D9" s="10"/>
      <c r="E9" s="10"/>
      <c r="F9" s="10"/>
      <c r="G9" s="10"/>
      <c r="H9" s="10"/>
      <c r="I9" s="10"/>
      <c r="J9" s="10"/>
      <c r="K9" s="10"/>
      <c r="L9" s="10"/>
      <c r="M9" s="10"/>
      <c r="N9" s="10"/>
      <c r="O9" s="10"/>
      <c r="P9" s="10"/>
      <c r="Q9" s="10"/>
      <c r="R9" s="10"/>
      <c r="S9" s="10"/>
      <c r="T9" s="10"/>
      <c r="U9" s="10"/>
      <c r="V9" s="10"/>
      <c r="W9" s="10"/>
      <c r="X9" s="49">
        <f t="shared" si="0"/>
        <v>4000</v>
      </c>
      <c r="Y9" s="50">
        <f>(X9*'User input'!$W$7)-'Price list'!$BE$25</f>
        <v>1720</v>
      </c>
      <c r="Z9" s="50">
        <f>(X9*'User input'!$W$7)-'Price list'!$N$35</f>
        <v>1720</v>
      </c>
      <c r="AA9" s="51">
        <v>0</v>
      </c>
      <c r="AB9" s="5"/>
      <c r="AC9" s="61">
        <v>40</v>
      </c>
      <c r="AD9" s="47">
        <f>('User input'!$W$12*(AC9/100)*'User input'!$W$7)-'Price list'!$BE$25</f>
        <v>1293.3333333333335</v>
      </c>
      <c r="AE9" s="47">
        <f>('User input'!$W$12*(AC9/100)*'User input'!$W$7)-'Price list'!$N$35</f>
        <v>1293.3333333333335</v>
      </c>
      <c r="AF9" s="51">
        <v>0</v>
      </c>
      <c r="AG9" s="10"/>
      <c r="AH9" s="10"/>
      <c r="AI9" s="10"/>
      <c r="AJ9" s="10"/>
      <c r="AK9" s="10"/>
      <c r="AL9" s="10"/>
      <c r="AM9" s="10"/>
      <c r="AN9" s="10"/>
      <c r="AO9" s="10"/>
      <c r="AP9" s="10"/>
      <c r="AQ9" s="10"/>
      <c r="AR9" s="10"/>
      <c r="AS9" s="10"/>
      <c r="AT9" s="10"/>
      <c r="AU9" s="10"/>
      <c r="AV9" s="10"/>
      <c r="AW9" s="10"/>
      <c r="AX9" s="10"/>
      <c r="AY9" s="10"/>
      <c r="AZ9" s="10"/>
    </row>
    <row r="10" spans="1:52" x14ac:dyDescent="0.5">
      <c r="A10" s="10"/>
      <c r="B10" s="10"/>
      <c r="C10" s="10"/>
      <c r="D10" s="10"/>
      <c r="E10" s="10"/>
      <c r="F10" s="10"/>
      <c r="G10" s="10"/>
      <c r="H10" s="10"/>
      <c r="I10" s="10"/>
      <c r="J10" s="10"/>
      <c r="K10" s="10"/>
      <c r="L10" s="10"/>
      <c r="M10" s="10"/>
      <c r="N10" s="10"/>
      <c r="O10" s="10"/>
      <c r="P10" s="10"/>
      <c r="Q10" s="10"/>
      <c r="R10" s="10"/>
      <c r="S10" s="10"/>
      <c r="T10" s="10"/>
      <c r="U10" s="10"/>
      <c r="V10" s="10"/>
      <c r="W10" s="10"/>
      <c r="X10" s="49">
        <f t="shared" si="0"/>
        <v>5000</v>
      </c>
      <c r="Y10" s="50">
        <f>(X10*'User input'!$W$7)-'Price list'!$BE$25</f>
        <v>2520</v>
      </c>
      <c r="Z10" s="50">
        <f>(X10*'User input'!$W$7)-'Price list'!$N$35</f>
        <v>2520</v>
      </c>
      <c r="AA10" s="51">
        <v>0</v>
      </c>
      <c r="AB10" s="5"/>
      <c r="AC10" s="61">
        <v>50</v>
      </c>
      <c r="AD10" s="47">
        <f>('User input'!$W$12*(AC10/100)*'User input'!$W$7)-'Price list'!$BE$25</f>
        <v>1986.6666666666665</v>
      </c>
      <c r="AE10" s="47">
        <f>('User input'!$W$12*(AC10/100)*'User input'!$W$7)-'Price list'!$N$35</f>
        <v>1986.6666666666665</v>
      </c>
      <c r="AF10" s="51">
        <v>0</v>
      </c>
      <c r="AG10" s="10"/>
      <c r="AH10" s="10"/>
      <c r="AI10" s="10"/>
      <c r="AJ10" s="10"/>
      <c r="AK10" s="10"/>
      <c r="AL10" s="10"/>
      <c r="AM10" s="10"/>
      <c r="AN10" s="10"/>
      <c r="AO10" s="10"/>
      <c r="AP10" s="10"/>
      <c r="AQ10" s="10"/>
      <c r="AR10" s="10"/>
      <c r="AS10" s="10"/>
      <c r="AT10" s="10"/>
      <c r="AU10" s="10"/>
      <c r="AV10" s="10"/>
      <c r="AW10" s="10"/>
      <c r="AX10" s="10"/>
      <c r="AY10" s="10"/>
      <c r="AZ10" s="10"/>
    </row>
    <row r="11" spans="1:52" x14ac:dyDescent="0.5">
      <c r="A11" s="10"/>
      <c r="B11" s="10"/>
      <c r="C11" s="10"/>
      <c r="D11" s="10"/>
      <c r="E11" s="10"/>
      <c r="F11" s="10"/>
      <c r="G11" s="10"/>
      <c r="H11" s="10"/>
      <c r="I11" s="10"/>
      <c r="J11" s="10"/>
      <c r="K11" s="10"/>
      <c r="L11" s="10"/>
      <c r="M11" s="10"/>
      <c r="N11" s="10"/>
      <c r="O11" s="10"/>
      <c r="P11" s="10"/>
      <c r="Q11" s="10"/>
      <c r="R11" s="10"/>
      <c r="S11" s="10"/>
      <c r="T11" s="10"/>
      <c r="U11" s="10"/>
      <c r="V11" s="10"/>
      <c r="W11" s="10"/>
      <c r="X11" s="49">
        <f t="shared" si="0"/>
        <v>6000</v>
      </c>
      <c r="Y11" s="50">
        <f>(X11*'User input'!$W$7)-'Price list'!$BE$25</f>
        <v>3320</v>
      </c>
      <c r="Z11" s="50">
        <f>(X11*'User input'!$W$7)-'Price list'!$N$35</f>
        <v>3320</v>
      </c>
      <c r="AA11" s="51">
        <v>0</v>
      </c>
      <c r="AB11" s="5"/>
      <c r="AC11" s="61">
        <v>60</v>
      </c>
      <c r="AD11" s="47">
        <f>('User input'!$W$12*(AC11/100)*'User input'!$W$7)-'Price list'!$BE$25</f>
        <v>2679.9999999999991</v>
      </c>
      <c r="AE11" s="47">
        <f>('User input'!$W$12*(AC11/100)*'User input'!$W$7)-'Price list'!$N$35</f>
        <v>2679.9999999999991</v>
      </c>
      <c r="AF11" s="51">
        <v>0</v>
      </c>
      <c r="AG11" s="10"/>
      <c r="AH11" s="10"/>
      <c r="AI11" s="10"/>
      <c r="AJ11" s="10"/>
      <c r="AK11" s="10"/>
      <c r="AL11" s="10"/>
      <c r="AM11" s="10"/>
      <c r="AN11" s="10"/>
      <c r="AO11" s="10"/>
      <c r="AP11" s="10"/>
      <c r="AQ11" s="10"/>
      <c r="AR11" s="10"/>
      <c r="AS11" s="10"/>
      <c r="AT11" s="10"/>
      <c r="AU11" s="10"/>
      <c r="AV11" s="10"/>
      <c r="AW11" s="10"/>
      <c r="AX11" s="10"/>
      <c r="AY11" s="10"/>
      <c r="AZ11" s="10"/>
    </row>
    <row r="12" spans="1:52" x14ac:dyDescent="0.5">
      <c r="A12" s="10"/>
      <c r="B12" s="10"/>
      <c r="C12" s="10"/>
      <c r="D12" s="10"/>
      <c r="E12" s="10"/>
      <c r="F12" s="10"/>
      <c r="G12" s="10"/>
      <c r="H12" s="10"/>
      <c r="I12" s="10"/>
      <c r="J12" s="10"/>
      <c r="K12" s="10"/>
      <c r="L12" s="10"/>
      <c r="M12" s="10"/>
      <c r="N12" s="10"/>
      <c r="O12" s="10"/>
      <c r="P12" s="10"/>
      <c r="Q12" s="10"/>
      <c r="R12" s="10"/>
      <c r="S12" s="10"/>
      <c r="T12" s="10"/>
      <c r="U12" s="10"/>
      <c r="V12" s="10"/>
      <c r="W12" s="10"/>
      <c r="X12" s="49">
        <f t="shared" si="0"/>
        <v>7000</v>
      </c>
      <c r="Y12" s="50">
        <f>(X12*'User input'!$W$7)-'Price list'!$BE$25</f>
        <v>4120</v>
      </c>
      <c r="Z12" s="50">
        <f>(X12*'User input'!$W$7)-'Price list'!$N$35</f>
        <v>4120</v>
      </c>
      <c r="AA12" s="51">
        <v>0</v>
      </c>
      <c r="AB12" s="5"/>
      <c r="AC12" s="61">
        <v>70</v>
      </c>
      <c r="AD12" s="47">
        <f>('User input'!$W$12*(AC12/100)*'User input'!$W$7)-'Price list'!$BE$25</f>
        <v>3373.333333333333</v>
      </c>
      <c r="AE12" s="47">
        <f>('User input'!$W$12*(AC12/100)*'User input'!$W$7)-'Price list'!$N$35</f>
        <v>3373.333333333333</v>
      </c>
      <c r="AF12" s="51">
        <v>0</v>
      </c>
      <c r="AG12" s="10"/>
      <c r="AH12" s="10"/>
      <c r="AI12" s="10"/>
      <c r="AJ12" s="10"/>
      <c r="AK12" s="10"/>
      <c r="AL12" s="10"/>
      <c r="AM12" s="10"/>
      <c r="AN12" s="10"/>
      <c r="AO12" s="10"/>
      <c r="AP12" s="10"/>
      <c r="AQ12" s="10"/>
      <c r="AR12" s="10"/>
      <c r="AS12" s="10"/>
      <c r="AT12" s="10"/>
      <c r="AU12" s="10"/>
      <c r="AV12" s="10"/>
      <c r="AW12" s="10"/>
      <c r="AX12" s="10"/>
      <c r="AY12" s="10"/>
      <c r="AZ12" s="10"/>
    </row>
    <row r="13" spans="1:52" x14ac:dyDescent="0.5">
      <c r="A13" s="10"/>
      <c r="B13" s="10"/>
      <c r="C13" s="10"/>
      <c r="D13" s="10"/>
      <c r="E13" s="10"/>
      <c r="F13" s="10"/>
      <c r="G13" s="10"/>
      <c r="H13" s="10"/>
      <c r="I13" s="10"/>
      <c r="J13" s="10"/>
      <c r="K13" s="10"/>
      <c r="L13" s="10"/>
      <c r="M13" s="10"/>
      <c r="N13" s="10"/>
      <c r="O13" s="10"/>
      <c r="P13" s="10"/>
      <c r="Q13" s="10"/>
      <c r="R13" s="10"/>
      <c r="S13" s="10"/>
      <c r="T13" s="10"/>
      <c r="U13" s="10"/>
      <c r="V13" s="10"/>
      <c r="W13" s="10"/>
      <c r="X13" s="49">
        <f t="shared" si="0"/>
        <v>8000</v>
      </c>
      <c r="Y13" s="50">
        <f>(X13*'User input'!$W$7)-'Price list'!$BE$25</f>
        <v>4920</v>
      </c>
      <c r="Z13" s="50">
        <f>(X13*'User input'!$W$7)-'Price list'!$N$35</f>
        <v>4920</v>
      </c>
      <c r="AA13" s="51">
        <v>0</v>
      </c>
      <c r="AB13" s="5"/>
      <c r="AC13" s="61">
        <v>80</v>
      </c>
      <c r="AD13" s="47">
        <f>('User input'!$W$12*(AC13/100)*'User input'!$W$7)-'Price list'!$BE$25</f>
        <v>4066.666666666667</v>
      </c>
      <c r="AE13" s="47">
        <f>('User input'!$W$12*(AC13/100)*'User input'!$W$7)-'Price list'!$N$35</f>
        <v>4066.666666666667</v>
      </c>
      <c r="AF13" s="51">
        <v>0</v>
      </c>
      <c r="AG13" s="10"/>
      <c r="AH13" s="10"/>
      <c r="AI13" s="10"/>
      <c r="AJ13" s="10"/>
      <c r="AK13" s="10"/>
      <c r="AL13" s="10"/>
      <c r="AM13" s="10"/>
      <c r="AN13" s="10"/>
      <c r="AO13" s="10"/>
      <c r="AP13" s="10"/>
      <c r="AQ13" s="10"/>
      <c r="AR13" s="10"/>
      <c r="AS13" s="10"/>
      <c r="AT13" s="10"/>
      <c r="AU13" s="10"/>
      <c r="AV13" s="10"/>
      <c r="AW13" s="10"/>
      <c r="AX13" s="10"/>
      <c r="AY13" s="10"/>
      <c r="AZ13" s="10"/>
    </row>
    <row r="14" spans="1:52" x14ac:dyDescent="0.5">
      <c r="A14" s="10"/>
      <c r="B14" s="10"/>
      <c r="C14" s="10"/>
      <c r="D14" s="10"/>
      <c r="E14" s="10"/>
      <c r="F14" s="10"/>
      <c r="G14" s="10"/>
      <c r="H14" s="10"/>
      <c r="I14" s="10"/>
      <c r="J14" s="10"/>
      <c r="K14" s="10"/>
      <c r="L14" s="10"/>
      <c r="M14" s="10"/>
      <c r="N14" s="10"/>
      <c r="O14" s="10"/>
      <c r="P14" s="10"/>
      <c r="Q14" s="10"/>
      <c r="R14" s="10"/>
      <c r="S14" s="10"/>
      <c r="T14" s="10"/>
      <c r="U14" s="10"/>
      <c r="V14" s="10"/>
      <c r="W14" s="10"/>
      <c r="X14" s="49">
        <f t="shared" si="0"/>
        <v>9000</v>
      </c>
      <c r="Y14" s="50">
        <f>(X14*'User input'!$W$7)-'Price list'!$BE$25</f>
        <v>5720</v>
      </c>
      <c r="Z14" s="50">
        <f>(X14*'User input'!$W$7)-'Price list'!$N$35</f>
        <v>5720</v>
      </c>
      <c r="AA14" s="51">
        <v>0</v>
      </c>
      <c r="AB14" s="5"/>
      <c r="AC14" s="61">
        <v>90</v>
      </c>
      <c r="AD14" s="47">
        <f>('User input'!$W$12*(AC14/100)*'User input'!$W$7)-'Price list'!$BE$25</f>
        <v>4760</v>
      </c>
      <c r="AE14" s="47">
        <f>('User input'!$W$12*(AC14/100)*'User input'!$W$7)-'Price list'!$N$35</f>
        <v>4760</v>
      </c>
      <c r="AF14" s="51">
        <v>0</v>
      </c>
      <c r="AG14" s="10"/>
      <c r="AH14" s="10"/>
      <c r="AI14" s="10"/>
      <c r="AJ14" s="10"/>
      <c r="AK14" s="10"/>
      <c r="AL14" s="10"/>
      <c r="AM14" s="10"/>
      <c r="AN14" s="10"/>
      <c r="AO14" s="10"/>
      <c r="AP14" s="10"/>
      <c r="AQ14" s="10"/>
      <c r="AR14" s="10"/>
      <c r="AS14" s="10"/>
      <c r="AT14" s="10"/>
      <c r="AU14" s="10"/>
      <c r="AV14" s="10"/>
      <c r="AW14" s="10"/>
      <c r="AX14" s="10"/>
      <c r="AY14" s="10"/>
      <c r="AZ14" s="10"/>
    </row>
    <row r="15" spans="1:52" ht="14.7" thickBot="1" x14ac:dyDescent="0.55000000000000004">
      <c r="A15" s="10"/>
      <c r="B15" s="10"/>
      <c r="C15" s="10"/>
      <c r="D15" s="10"/>
      <c r="E15" s="10"/>
      <c r="F15" s="10"/>
      <c r="G15" s="10"/>
      <c r="H15" s="10"/>
      <c r="I15" s="10"/>
      <c r="J15" s="10"/>
      <c r="K15" s="10"/>
      <c r="L15" s="10"/>
      <c r="M15" s="10"/>
      <c r="N15" s="10"/>
      <c r="O15" s="10"/>
      <c r="P15" s="10"/>
      <c r="Q15" s="10"/>
      <c r="R15" s="10"/>
      <c r="S15" s="10"/>
      <c r="T15" s="10"/>
      <c r="U15" s="10"/>
      <c r="V15" s="10"/>
      <c r="W15" s="10"/>
      <c r="X15" s="49">
        <f t="shared" si="0"/>
        <v>10000</v>
      </c>
      <c r="Y15" s="50">
        <f>(X15*'User input'!$W$7)-'Price list'!$BE$25</f>
        <v>6520</v>
      </c>
      <c r="Z15" s="50">
        <f>(X15*'User input'!$W$7)-'Price list'!$N$35</f>
        <v>6520</v>
      </c>
      <c r="AA15" s="51">
        <v>0</v>
      </c>
      <c r="AB15" s="5"/>
      <c r="AC15" s="62">
        <v>100</v>
      </c>
      <c r="AD15" s="53">
        <f>('User input'!$W$12*(AC15/100)*'User input'!$W$7)-'Price list'!$BE$25</f>
        <v>5453.333333333333</v>
      </c>
      <c r="AE15" s="53">
        <f>('User input'!$W$12*(AC15/100)*'User input'!$W$7)-'Price list'!$N$35</f>
        <v>5453.333333333333</v>
      </c>
      <c r="AF15" s="54">
        <v>0</v>
      </c>
      <c r="AG15" s="10"/>
      <c r="AH15" s="10"/>
      <c r="AI15" s="10"/>
      <c r="AJ15" s="10"/>
      <c r="AK15" s="10"/>
      <c r="AL15" s="10"/>
      <c r="AM15" s="10"/>
      <c r="AN15" s="10"/>
      <c r="AO15" s="10"/>
      <c r="AP15" s="10"/>
      <c r="AQ15" s="10"/>
      <c r="AR15" s="10"/>
      <c r="AS15" s="10"/>
      <c r="AT15" s="10"/>
      <c r="AU15" s="10"/>
      <c r="AV15" s="10"/>
      <c r="AW15" s="10"/>
      <c r="AX15" s="10"/>
      <c r="AY15" s="10"/>
      <c r="AZ15" s="10"/>
    </row>
    <row r="16" spans="1:52" ht="15" thickTop="1" thickBot="1" x14ac:dyDescent="0.55000000000000004">
      <c r="A16" s="10"/>
      <c r="B16" s="10"/>
      <c r="C16" s="10"/>
      <c r="D16" s="10"/>
      <c r="E16" s="10"/>
      <c r="F16" s="10"/>
      <c r="G16" s="10"/>
      <c r="H16" s="10"/>
      <c r="I16" s="10"/>
      <c r="J16" s="10"/>
      <c r="K16" s="10"/>
      <c r="L16" s="10"/>
      <c r="M16" s="10"/>
      <c r="N16" s="10"/>
      <c r="O16" s="10"/>
      <c r="P16" s="10"/>
      <c r="Q16" s="10"/>
      <c r="R16" s="10"/>
      <c r="S16" s="10"/>
      <c r="T16" s="10"/>
      <c r="U16" s="10"/>
      <c r="V16" s="10"/>
      <c r="W16" s="10"/>
      <c r="X16" s="49">
        <f t="shared" si="0"/>
        <v>11000</v>
      </c>
      <c r="Y16" s="50">
        <f>(X16*'User input'!$W$7)-'Price list'!$BE$25</f>
        <v>7320</v>
      </c>
      <c r="Z16" s="50">
        <f>(X16*'User input'!$W$7)-'Price list'!$N$35</f>
        <v>7320</v>
      </c>
      <c r="AA16" s="51">
        <v>0</v>
      </c>
      <c r="AB16" s="5"/>
      <c r="AC16" s="5"/>
      <c r="AD16" s="5"/>
      <c r="AE16" s="5"/>
      <c r="AF16" s="5"/>
      <c r="AG16" s="10"/>
      <c r="AH16" s="10"/>
      <c r="AI16" s="10"/>
      <c r="AJ16" s="10"/>
      <c r="AK16" s="10"/>
      <c r="AL16" s="10"/>
      <c r="AM16" s="10"/>
      <c r="AN16" s="10"/>
      <c r="AO16" s="10"/>
      <c r="AP16" s="10"/>
      <c r="AQ16" s="10"/>
      <c r="AR16" s="10"/>
      <c r="AS16" s="10"/>
      <c r="AT16" s="10"/>
      <c r="AU16" s="10"/>
      <c r="AV16" s="10"/>
      <c r="AW16" s="10"/>
      <c r="AX16" s="10"/>
      <c r="AY16" s="10"/>
      <c r="AZ16" s="10"/>
    </row>
    <row r="17" spans="1:52" ht="15" thickTop="1" thickBot="1" x14ac:dyDescent="0.55000000000000004">
      <c r="A17" s="10"/>
      <c r="B17" s="10"/>
      <c r="C17" s="10"/>
      <c r="D17" s="10"/>
      <c r="E17" s="10"/>
      <c r="F17" s="10"/>
      <c r="G17" s="10"/>
      <c r="H17" s="10"/>
      <c r="I17" s="10"/>
      <c r="J17" s="10"/>
      <c r="K17" s="10"/>
      <c r="L17" s="10"/>
      <c r="M17" s="10"/>
      <c r="N17" s="10"/>
      <c r="O17" s="10"/>
      <c r="P17" s="10"/>
      <c r="Q17" s="10"/>
      <c r="R17" s="10"/>
      <c r="S17" s="10"/>
      <c r="T17" s="10"/>
      <c r="U17" s="10"/>
      <c r="V17" s="10"/>
      <c r="W17" s="10"/>
      <c r="X17" s="49">
        <f t="shared" si="0"/>
        <v>12000</v>
      </c>
      <c r="Y17" s="50">
        <f>(X17*'User input'!$W$7)-'Price list'!$BE$25</f>
        <v>8120</v>
      </c>
      <c r="Z17" s="50">
        <f>(X17*'User input'!$W$7)-'Price list'!$N$35</f>
        <v>8120</v>
      </c>
      <c r="AA17" s="51">
        <v>0</v>
      </c>
      <c r="AB17" s="5"/>
      <c r="AC17" s="359" t="s">
        <v>56</v>
      </c>
      <c r="AD17" s="360"/>
      <c r="AE17" s="360"/>
      <c r="AF17" s="361"/>
      <c r="AG17" s="10"/>
      <c r="AH17" s="10"/>
      <c r="AI17" s="10"/>
      <c r="AJ17" s="10"/>
      <c r="AK17" s="10"/>
      <c r="AL17" s="10"/>
      <c r="AM17" s="10"/>
      <c r="AN17" s="10"/>
      <c r="AO17" s="10"/>
      <c r="AP17" s="10"/>
      <c r="AQ17" s="10"/>
      <c r="AR17" s="10"/>
      <c r="AS17" s="10"/>
      <c r="AT17" s="10"/>
      <c r="AU17" s="10"/>
      <c r="AV17" s="10"/>
      <c r="AW17" s="10"/>
      <c r="AX17" s="10"/>
      <c r="AY17" s="10"/>
      <c r="AZ17" s="10"/>
    </row>
    <row r="18" spans="1:52" ht="14.7" thickTop="1" x14ac:dyDescent="0.5">
      <c r="A18" s="10"/>
      <c r="B18" s="10"/>
      <c r="C18" s="10"/>
      <c r="D18" s="10"/>
      <c r="E18" s="10"/>
      <c r="F18" s="10"/>
      <c r="G18" s="10"/>
      <c r="H18" s="10"/>
      <c r="I18" s="10"/>
      <c r="J18" s="10"/>
      <c r="K18" s="10"/>
      <c r="L18" s="10"/>
      <c r="M18" s="10"/>
      <c r="N18" s="10"/>
      <c r="O18" s="10"/>
      <c r="P18" s="10"/>
      <c r="Q18" s="10"/>
      <c r="R18" s="10"/>
      <c r="S18" s="10"/>
      <c r="T18" s="10"/>
      <c r="U18" s="10"/>
      <c r="V18" s="10"/>
      <c r="W18" s="10"/>
      <c r="X18" s="49">
        <f t="shared" si="0"/>
        <v>13000</v>
      </c>
      <c r="Y18" s="50">
        <f>(X18*'User input'!$W$7)-'Price list'!$BE$25</f>
        <v>8920</v>
      </c>
      <c r="Z18" s="50">
        <f>(X18*'User input'!$W$7)-'Price list'!$N$35</f>
        <v>8920</v>
      </c>
      <c r="AA18" s="51">
        <v>0</v>
      </c>
      <c r="AB18" s="5"/>
      <c r="AC18" s="58" t="s">
        <v>55</v>
      </c>
      <c r="AD18" s="59" t="s">
        <v>120</v>
      </c>
      <c r="AE18" s="59" t="s">
        <v>118</v>
      </c>
      <c r="AF18" s="60" t="s">
        <v>231</v>
      </c>
      <c r="AG18" s="10"/>
      <c r="AH18" s="10"/>
      <c r="AI18" s="10"/>
      <c r="AJ18" s="10"/>
      <c r="AK18" s="10"/>
      <c r="AL18" s="10"/>
      <c r="AM18" s="10"/>
      <c r="AN18" s="10"/>
      <c r="AO18" s="10"/>
      <c r="AP18" s="10"/>
      <c r="AQ18" s="10"/>
      <c r="AR18" s="10"/>
      <c r="AS18" s="10"/>
      <c r="AT18" s="10"/>
      <c r="AU18" s="10"/>
      <c r="AV18" s="10"/>
      <c r="AW18" s="10"/>
      <c r="AX18" s="10"/>
      <c r="AY18" s="10"/>
      <c r="AZ18" s="10"/>
    </row>
    <row r="19" spans="1:52" x14ac:dyDescent="0.5">
      <c r="A19" s="10"/>
      <c r="B19" s="10"/>
      <c r="C19" s="10"/>
      <c r="D19" s="10"/>
      <c r="E19" s="10"/>
      <c r="F19" s="10"/>
      <c r="G19" s="10"/>
      <c r="H19" s="10"/>
      <c r="I19" s="10"/>
      <c r="J19" s="10"/>
      <c r="K19" s="10"/>
      <c r="L19" s="10"/>
      <c r="M19" s="10"/>
      <c r="N19" s="10"/>
      <c r="O19" s="10"/>
      <c r="P19" s="10"/>
      <c r="Q19" s="10"/>
      <c r="R19" s="10"/>
      <c r="S19" s="10"/>
      <c r="T19" s="10"/>
      <c r="U19" s="10"/>
      <c r="V19" s="10"/>
      <c r="W19" s="10"/>
      <c r="X19" s="49">
        <f t="shared" si="0"/>
        <v>14000</v>
      </c>
      <c r="Y19" s="50">
        <f>(X19*'User input'!$W$7)-'Price list'!$BE$25</f>
        <v>9720</v>
      </c>
      <c r="Z19" s="50">
        <f>(X19*'User input'!$W$7)-'Price list'!$N$35</f>
        <v>9720</v>
      </c>
      <c r="AA19" s="51">
        <v>0</v>
      </c>
      <c r="AB19" s="5"/>
      <c r="AC19" s="61">
        <v>0</v>
      </c>
      <c r="AD19" s="50">
        <f>('User input'!$W$12*(AC19/100)*'User input'!$W$7*'User input'!$D$9)-'Price list'!$BI$25</f>
        <v>-14800</v>
      </c>
      <c r="AE19" s="50">
        <f>('User input'!$W$12*(AC19/100)*'User input'!$W$7*'User input'!$D$9)-('Price list'!$N$35*'User input'!$D$9)</f>
        <v>-14800</v>
      </c>
      <c r="AF19" s="51">
        <v>0</v>
      </c>
      <c r="AG19" s="10"/>
      <c r="AH19" s="10"/>
      <c r="AI19" s="10"/>
      <c r="AJ19" s="10"/>
      <c r="AK19" s="10"/>
      <c r="AL19" s="10"/>
      <c r="AM19" s="10"/>
      <c r="AN19" s="10"/>
      <c r="AO19" s="10"/>
      <c r="AP19" s="10"/>
      <c r="AQ19" s="10"/>
      <c r="AR19" s="10"/>
      <c r="AS19" s="10"/>
      <c r="AT19" s="10"/>
      <c r="AU19" s="10"/>
      <c r="AV19" s="10"/>
      <c r="AW19" s="10"/>
      <c r="AX19" s="10"/>
      <c r="AY19" s="10"/>
      <c r="AZ19" s="10"/>
    </row>
    <row r="20" spans="1:52" ht="14.7" thickBot="1" x14ac:dyDescent="0.55000000000000004">
      <c r="A20" s="10"/>
      <c r="B20" s="10"/>
      <c r="C20" s="10"/>
      <c r="D20" s="10"/>
      <c r="E20" s="10"/>
      <c r="F20" s="10"/>
      <c r="G20" s="10"/>
      <c r="H20" s="10"/>
      <c r="I20" s="10"/>
      <c r="J20" s="10"/>
      <c r="K20" s="10"/>
      <c r="L20" s="10"/>
      <c r="M20" s="10"/>
      <c r="N20" s="10"/>
      <c r="O20" s="10"/>
      <c r="P20" s="10"/>
      <c r="Q20" s="10"/>
      <c r="R20" s="10"/>
      <c r="S20" s="10"/>
      <c r="T20" s="10"/>
      <c r="U20" s="10"/>
      <c r="V20" s="10"/>
      <c r="W20" s="10"/>
      <c r="X20" s="52">
        <f t="shared" si="0"/>
        <v>15000</v>
      </c>
      <c r="Y20" s="53">
        <f>(X20*'User input'!$W$7)-'Price list'!$BE$25</f>
        <v>10520</v>
      </c>
      <c r="Z20" s="53">
        <f>(X20*'User input'!$W$7)-'Price list'!$N$35</f>
        <v>10520</v>
      </c>
      <c r="AA20" s="54">
        <v>0</v>
      </c>
      <c r="AB20" s="5"/>
      <c r="AC20" s="61">
        <v>10</v>
      </c>
      <c r="AD20" s="50">
        <f>('User input'!$W$12*(AC20/100)*'User input'!$W$7*'User input'!$D$9)-'Price list'!$BI$25</f>
        <v>-7866.6666666666661</v>
      </c>
      <c r="AE20" s="50">
        <f>('User input'!$W$12*(AC20/100)*'User input'!$W$7*'User input'!$D$9)-('Price list'!$N$35*'User input'!$D$9)</f>
        <v>-7866.6666666666661</v>
      </c>
      <c r="AF20" s="51">
        <v>0</v>
      </c>
      <c r="AG20" s="10"/>
      <c r="AH20" s="10"/>
      <c r="AI20" s="10"/>
      <c r="AJ20" s="10"/>
      <c r="AK20" s="10"/>
      <c r="AL20" s="10"/>
      <c r="AM20" s="10"/>
      <c r="AN20" s="10"/>
      <c r="AO20" s="10"/>
      <c r="AP20" s="10"/>
      <c r="AQ20" s="10"/>
      <c r="AR20" s="10"/>
      <c r="AS20" s="10"/>
      <c r="AT20" s="10"/>
      <c r="AU20" s="10"/>
      <c r="AV20" s="10"/>
      <c r="AW20" s="10"/>
      <c r="AX20" s="10"/>
      <c r="AY20" s="10"/>
      <c r="AZ20" s="10"/>
    </row>
    <row r="21" spans="1:52" ht="15" thickTop="1" thickBot="1" x14ac:dyDescent="0.55000000000000004">
      <c r="A21" s="10"/>
      <c r="B21" s="10"/>
      <c r="C21" s="10"/>
      <c r="D21" s="10"/>
      <c r="E21" s="10"/>
      <c r="F21" s="10"/>
      <c r="G21" s="10"/>
      <c r="H21" s="10"/>
      <c r="I21" s="10"/>
      <c r="J21" s="10"/>
      <c r="K21" s="10"/>
      <c r="L21" s="10"/>
      <c r="M21" s="10"/>
      <c r="N21" s="10"/>
      <c r="O21" s="10"/>
      <c r="P21" s="10"/>
      <c r="Q21" s="10"/>
      <c r="R21" s="10"/>
      <c r="S21" s="10"/>
      <c r="T21" s="10"/>
      <c r="U21" s="10"/>
      <c r="V21" s="10"/>
      <c r="W21" s="10"/>
      <c r="X21" s="5"/>
      <c r="Y21" s="5"/>
      <c r="Z21" s="5"/>
      <c r="AA21" s="5"/>
      <c r="AB21" s="5"/>
      <c r="AC21" s="61">
        <v>20</v>
      </c>
      <c r="AD21" s="50">
        <f>('User input'!$W$12*(AC21/100)*'User input'!$W$7*'User input'!$D$9)-'Price list'!$BI$25</f>
        <v>-933.33333333333212</v>
      </c>
      <c r="AE21" s="50">
        <f>('User input'!$W$12*(AC21/100)*'User input'!$W$7*'User input'!$D$9)-('Price list'!$N$35*'User input'!$D$9)</f>
        <v>-933.33333333333212</v>
      </c>
      <c r="AF21" s="51">
        <v>0</v>
      </c>
      <c r="AG21" s="10"/>
      <c r="AH21" s="10"/>
      <c r="AI21" s="10"/>
      <c r="AJ21" s="10"/>
      <c r="AK21" s="10"/>
      <c r="AL21" s="10"/>
      <c r="AM21" s="10"/>
      <c r="AN21" s="10"/>
      <c r="AO21" s="10"/>
      <c r="AP21" s="10"/>
      <c r="AQ21" s="10"/>
      <c r="AR21" s="10"/>
      <c r="AS21" s="10"/>
      <c r="AT21" s="10"/>
      <c r="AU21" s="10"/>
      <c r="AV21" s="10"/>
      <c r="AW21" s="10"/>
      <c r="AX21" s="10"/>
      <c r="AY21" s="10"/>
      <c r="AZ21" s="10"/>
    </row>
    <row r="22" spans="1:52" ht="14.7" thickTop="1" x14ac:dyDescent="0.5">
      <c r="A22" s="10"/>
      <c r="B22" s="10"/>
      <c r="C22" s="10"/>
      <c r="D22" s="10"/>
      <c r="E22" s="10"/>
      <c r="F22" s="10"/>
      <c r="G22" s="10"/>
      <c r="H22" s="10"/>
      <c r="I22" s="10"/>
      <c r="J22" s="10"/>
      <c r="K22" s="10"/>
      <c r="L22" s="10"/>
      <c r="M22" s="10"/>
      <c r="N22" s="10"/>
      <c r="O22" s="10"/>
      <c r="P22" s="10"/>
      <c r="Q22" s="10"/>
      <c r="R22" s="10"/>
      <c r="S22" s="10"/>
      <c r="T22" s="10"/>
      <c r="U22" s="10"/>
      <c r="V22" s="10"/>
      <c r="W22" s="10"/>
      <c r="X22" s="356" t="s">
        <v>57</v>
      </c>
      <c r="Y22" s="357"/>
      <c r="Z22" s="357"/>
      <c r="AA22" s="358"/>
      <c r="AB22" s="5"/>
      <c r="AC22" s="61">
        <v>30</v>
      </c>
      <c r="AD22" s="50">
        <f>('User input'!$W$12*(AC22/100)*'User input'!$W$7*'User input'!$D$9)-'Price list'!$BI$25</f>
        <v>5999.9999999999964</v>
      </c>
      <c r="AE22" s="50">
        <f>('User input'!$W$12*(AC22/100)*'User input'!$W$7*'User input'!$D$9)-('Price list'!$N$35*'User input'!$D$9)</f>
        <v>5999.9999999999964</v>
      </c>
      <c r="AF22" s="51">
        <v>0</v>
      </c>
      <c r="AG22" s="10"/>
      <c r="AH22" s="10"/>
      <c r="AI22" s="10"/>
      <c r="AJ22" s="10"/>
      <c r="AK22" s="10"/>
      <c r="AL22" s="10"/>
      <c r="AM22" s="10"/>
      <c r="AN22" s="10"/>
      <c r="AO22" s="10"/>
      <c r="AP22" s="10"/>
      <c r="AQ22" s="10"/>
      <c r="AR22" s="10"/>
      <c r="AS22" s="10"/>
      <c r="AT22" s="10"/>
      <c r="AU22" s="10"/>
      <c r="AV22" s="10"/>
      <c r="AW22" s="10"/>
      <c r="AX22" s="10"/>
      <c r="AY22" s="10"/>
      <c r="AZ22" s="10"/>
    </row>
    <row r="23" spans="1:52" x14ac:dyDescent="0.5">
      <c r="A23" s="10"/>
      <c r="B23" s="10"/>
      <c r="C23" s="10"/>
      <c r="D23" s="10"/>
      <c r="E23" s="10"/>
      <c r="F23" s="10"/>
      <c r="G23" s="10"/>
      <c r="H23" s="10"/>
      <c r="I23" s="10"/>
      <c r="J23" s="10"/>
      <c r="K23" s="10"/>
      <c r="L23" s="10"/>
      <c r="M23" s="10"/>
      <c r="N23" s="10"/>
      <c r="O23" s="10"/>
      <c r="P23" s="10"/>
      <c r="Q23" s="10"/>
      <c r="R23" s="10"/>
      <c r="S23" s="10"/>
      <c r="T23" s="10"/>
      <c r="U23" s="10"/>
      <c r="V23" s="10"/>
      <c r="W23" s="10"/>
      <c r="X23" s="55" t="s">
        <v>48</v>
      </c>
      <c r="Y23" s="56" t="s">
        <v>117</v>
      </c>
      <c r="Z23" s="56" t="s">
        <v>118</v>
      </c>
      <c r="AA23" s="57" t="s">
        <v>231</v>
      </c>
      <c r="AB23" s="5"/>
      <c r="AC23" s="61">
        <v>40</v>
      </c>
      <c r="AD23" s="50">
        <f>('User input'!$W$12*(AC23/100)*'User input'!$W$7*'User input'!$D$9)-'Price list'!$BI$25</f>
        <v>12933.333333333336</v>
      </c>
      <c r="AE23" s="50">
        <f>('User input'!$W$12*(AC23/100)*'User input'!$W$7*'User input'!$D$9)-('Price list'!$N$35*'User input'!$D$9)</f>
        <v>12933.333333333336</v>
      </c>
      <c r="AF23" s="51">
        <v>0</v>
      </c>
      <c r="AG23" s="10"/>
      <c r="AH23" s="10"/>
      <c r="AI23" s="10"/>
      <c r="AJ23" s="10"/>
      <c r="AK23" s="10"/>
      <c r="AL23" s="10"/>
      <c r="AM23" s="10"/>
      <c r="AN23" s="10"/>
      <c r="AO23" s="10"/>
      <c r="AP23" s="10"/>
      <c r="AQ23" s="10"/>
      <c r="AR23" s="10"/>
      <c r="AS23" s="10"/>
      <c r="AT23" s="10"/>
      <c r="AU23" s="10"/>
      <c r="AV23" s="10"/>
      <c r="AW23" s="10"/>
      <c r="AX23" s="10"/>
      <c r="AY23" s="10"/>
      <c r="AZ23" s="10"/>
    </row>
    <row r="24" spans="1:52" x14ac:dyDescent="0.5">
      <c r="A24" s="10"/>
      <c r="B24" s="10"/>
      <c r="C24" s="10"/>
      <c r="D24" s="10"/>
      <c r="E24" s="10"/>
      <c r="F24" s="10"/>
      <c r="G24" s="10"/>
      <c r="H24" s="10"/>
      <c r="I24" s="10"/>
      <c r="J24" s="10"/>
      <c r="K24" s="10"/>
      <c r="L24" s="10"/>
      <c r="M24" s="10"/>
      <c r="N24" s="10"/>
      <c r="O24" s="10"/>
      <c r="P24" s="10"/>
      <c r="Q24" s="10"/>
      <c r="R24" s="10"/>
      <c r="S24" s="10"/>
      <c r="T24" s="10"/>
      <c r="U24" s="10"/>
      <c r="V24" s="10"/>
      <c r="W24" s="10"/>
      <c r="X24" s="49">
        <v>0</v>
      </c>
      <c r="Y24" s="50">
        <f>(X24*'User input'!$W$7*'User input'!$D$9)-'Price list'!$BI$25</f>
        <v>-14800</v>
      </c>
      <c r="Z24" s="50">
        <f>(X24*'User input'!$W$7*'User input'!$D$9)-'Price list'!$P$35</f>
        <v>-14800</v>
      </c>
      <c r="AA24" s="51">
        <v>0</v>
      </c>
      <c r="AB24" s="5"/>
      <c r="AC24" s="61">
        <v>50</v>
      </c>
      <c r="AD24" s="50">
        <f>('User input'!$W$12*(AC24/100)*'User input'!$W$7*'User input'!$D$9)-'Price list'!$BI$25</f>
        <v>19866.666666666664</v>
      </c>
      <c r="AE24" s="50">
        <f>('User input'!$W$12*(AC24/100)*'User input'!$W$7*'User input'!$D$9)-('Price list'!$N$35*'User input'!$D$9)</f>
        <v>19866.666666666664</v>
      </c>
      <c r="AF24" s="51">
        <v>0</v>
      </c>
      <c r="AG24" s="10"/>
      <c r="AH24" s="10"/>
      <c r="AI24" s="10"/>
      <c r="AJ24" s="10"/>
      <c r="AK24" s="10"/>
      <c r="AL24" s="10"/>
      <c r="AM24" s="10"/>
      <c r="AN24" s="10"/>
      <c r="AO24" s="10"/>
      <c r="AP24" s="10"/>
      <c r="AQ24" s="10"/>
      <c r="AR24" s="10"/>
      <c r="AS24" s="10"/>
      <c r="AT24" s="10"/>
      <c r="AU24" s="10"/>
      <c r="AV24" s="10"/>
      <c r="AW24" s="10"/>
      <c r="AX24" s="10"/>
      <c r="AY24" s="10"/>
      <c r="AZ24" s="10"/>
    </row>
    <row r="25" spans="1:52" x14ac:dyDescent="0.5">
      <c r="A25" s="10"/>
      <c r="B25" s="10"/>
      <c r="C25" s="10"/>
      <c r="D25" s="10"/>
      <c r="E25" s="10"/>
      <c r="F25" s="10"/>
      <c r="G25" s="10"/>
      <c r="H25" s="10"/>
      <c r="I25" s="10"/>
      <c r="J25" s="10"/>
      <c r="K25" s="10"/>
      <c r="L25" s="10"/>
      <c r="M25" s="10"/>
      <c r="N25" s="10"/>
      <c r="O25" s="10"/>
      <c r="P25" s="10"/>
      <c r="Q25" s="10"/>
      <c r="R25" s="10"/>
      <c r="S25" s="10"/>
      <c r="T25" s="10"/>
      <c r="U25" s="10"/>
      <c r="V25" s="10"/>
      <c r="W25" s="10"/>
      <c r="X25" s="49">
        <f t="shared" ref="X25:X39" si="1">X24+1000</f>
        <v>1000</v>
      </c>
      <c r="Y25" s="50">
        <f>(X25*'User input'!$W$7*'User input'!$D$9)-'Price list'!$BI$25</f>
        <v>-6800</v>
      </c>
      <c r="Z25" s="50">
        <f>(X25*'User input'!$W$7*'User input'!$D$9)-'Price list'!$P$35</f>
        <v>-6800</v>
      </c>
      <c r="AA25" s="51">
        <v>0</v>
      </c>
      <c r="AB25" s="5"/>
      <c r="AC25" s="61">
        <v>60</v>
      </c>
      <c r="AD25" s="50">
        <f>('User input'!$W$12*(AC25/100)*'User input'!$W$7*'User input'!$D$9)-'Price list'!$BI$25</f>
        <v>26799.999999999993</v>
      </c>
      <c r="AE25" s="50">
        <f>('User input'!$W$12*(AC25/100)*'User input'!$W$7*'User input'!$D$9)-('Price list'!$N$35*'User input'!$D$9)</f>
        <v>26799.999999999993</v>
      </c>
      <c r="AF25" s="51">
        <v>0</v>
      </c>
      <c r="AG25" s="10"/>
      <c r="AH25" s="10"/>
      <c r="AI25" s="10"/>
      <c r="AJ25" s="10"/>
      <c r="AK25" s="10"/>
      <c r="AL25" s="10"/>
      <c r="AM25" s="10"/>
      <c r="AN25" s="10"/>
      <c r="AO25" s="10"/>
      <c r="AP25" s="10"/>
      <c r="AQ25" s="10"/>
      <c r="AR25" s="10"/>
      <c r="AS25" s="10"/>
      <c r="AT25" s="10"/>
      <c r="AU25" s="10"/>
      <c r="AV25" s="10"/>
      <c r="AW25" s="10"/>
      <c r="AX25" s="10"/>
      <c r="AY25" s="10"/>
      <c r="AZ25" s="10"/>
    </row>
    <row r="26" spans="1:52" x14ac:dyDescent="0.5">
      <c r="A26" s="10"/>
      <c r="B26" s="10"/>
      <c r="C26" s="10"/>
      <c r="D26" s="10"/>
      <c r="E26" s="10"/>
      <c r="F26" s="10"/>
      <c r="G26" s="10"/>
      <c r="H26" s="10"/>
      <c r="I26" s="10"/>
      <c r="J26" s="10"/>
      <c r="K26" s="10"/>
      <c r="L26" s="10"/>
      <c r="M26" s="10"/>
      <c r="N26" s="10"/>
      <c r="O26" s="10"/>
      <c r="P26" s="10"/>
      <c r="Q26" s="10"/>
      <c r="R26" s="10"/>
      <c r="S26" s="10"/>
      <c r="T26" s="10"/>
      <c r="U26" s="10"/>
      <c r="V26" s="10"/>
      <c r="W26" s="10"/>
      <c r="X26" s="49">
        <f t="shared" si="1"/>
        <v>2000</v>
      </c>
      <c r="Y26" s="50">
        <f>(X26*'User input'!$W$7*'User input'!$D$9)-'Price list'!$BI$25</f>
        <v>1200</v>
      </c>
      <c r="Z26" s="50">
        <f>(X26*'User input'!$W$7*'User input'!$D$9)-'Price list'!$P$35</f>
        <v>1200</v>
      </c>
      <c r="AA26" s="51">
        <v>0</v>
      </c>
      <c r="AB26" s="5"/>
      <c r="AC26" s="61">
        <v>70</v>
      </c>
      <c r="AD26" s="50">
        <f>('User input'!$W$12*(AC26/100)*'User input'!$W$7*'User input'!$D$9)-'Price list'!$BI$25</f>
        <v>33733.333333333328</v>
      </c>
      <c r="AE26" s="50">
        <f>('User input'!$W$12*(AC26/100)*'User input'!$W$7*'User input'!$D$9)-('Price list'!$N$35*'User input'!$D$9)</f>
        <v>33733.333333333328</v>
      </c>
      <c r="AF26" s="51">
        <v>0</v>
      </c>
      <c r="AG26" s="10"/>
      <c r="AH26" s="10"/>
      <c r="AI26" s="10"/>
      <c r="AJ26" s="10"/>
      <c r="AK26" s="10"/>
      <c r="AL26" s="10"/>
      <c r="AM26" s="10"/>
      <c r="AN26" s="10"/>
      <c r="AO26" s="10"/>
      <c r="AP26" s="10"/>
      <c r="AQ26" s="10"/>
      <c r="AR26" s="10"/>
      <c r="AS26" s="10"/>
      <c r="AT26" s="10"/>
      <c r="AU26" s="10"/>
      <c r="AV26" s="10"/>
      <c r="AW26" s="10"/>
      <c r="AX26" s="10"/>
      <c r="AY26" s="10"/>
      <c r="AZ26" s="10"/>
    </row>
    <row r="27" spans="1:52" x14ac:dyDescent="0.5">
      <c r="A27" s="10"/>
      <c r="B27" s="10"/>
      <c r="C27" s="10"/>
      <c r="D27" s="10"/>
      <c r="E27" s="10"/>
      <c r="F27" s="10"/>
      <c r="G27" s="10"/>
      <c r="H27" s="10"/>
      <c r="I27" s="10"/>
      <c r="J27" s="10"/>
      <c r="K27" s="10"/>
      <c r="L27" s="10"/>
      <c r="M27" s="10"/>
      <c r="N27" s="10"/>
      <c r="O27" s="10"/>
      <c r="P27" s="10"/>
      <c r="Q27" s="10"/>
      <c r="R27" s="10"/>
      <c r="S27" s="10"/>
      <c r="T27" s="10"/>
      <c r="U27" s="10"/>
      <c r="V27" s="10"/>
      <c r="W27" s="10"/>
      <c r="X27" s="49">
        <f t="shared" si="1"/>
        <v>3000</v>
      </c>
      <c r="Y27" s="50">
        <f>(X27*'User input'!$W$7*'User input'!$D$9)-'Price list'!$BI$25</f>
        <v>9200</v>
      </c>
      <c r="Z27" s="50">
        <f>(X27*'User input'!$W$7*'User input'!$D$9)-'Price list'!$P$35</f>
        <v>9200</v>
      </c>
      <c r="AA27" s="51">
        <v>0</v>
      </c>
      <c r="AB27" s="5"/>
      <c r="AC27" s="61">
        <v>80</v>
      </c>
      <c r="AD27" s="50">
        <f>('User input'!$W$12*(AC27/100)*'User input'!$W$7*'User input'!$D$9)-'Price list'!$BI$25</f>
        <v>40666.666666666672</v>
      </c>
      <c r="AE27" s="50">
        <f>('User input'!$W$12*(AC27/100)*'User input'!$W$7*'User input'!$D$9)-('Price list'!$N$35*'User input'!$D$9)</f>
        <v>40666.666666666672</v>
      </c>
      <c r="AF27" s="51">
        <v>0</v>
      </c>
      <c r="AG27" s="10"/>
      <c r="AH27" s="10"/>
      <c r="AI27" s="10"/>
      <c r="AJ27" s="10"/>
      <c r="AK27" s="10"/>
      <c r="AL27" s="10"/>
      <c r="AM27" s="10"/>
      <c r="AN27" s="10"/>
      <c r="AO27" s="10"/>
      <c r="AP27" s="10"/>
      <c r="AQ27" s="10"/>
      <c r="AR27" s="10"/>
      <c r="AS27" s="10"/>
      <c r="AT27" s="10"/>
      <c r="AU27" s="10"/>
      <c r="AV27" s="10"/>
      <c r="AW27" s="10"/>
      <c r="AX27" s="10"/>
      <c r="AY27" s="10"/>
      <c r="AZ27" s="10"/>
    </row>
    <row r="28" spans="1:52" x14ac:dyDescent="0.5">
      <c r="A28" s="10"/>
      <c r="B28" s="10"/>
      <c r="C28" s="10"/>
      <c r="D28" s="10"/>
      <c r="E28" s="10"/>
      <c r="F28" s="10"/>
      <c r="G28" s="10"/>
      <c r="H28" s="10"/>
      <c r="I28" s="10"/>
      <c r="J28" s="10"/>
      <c r="K28" s="10"/>
      <c r="L28" s="10"/>
      <c r="M28" s="10"/>
      <c r="N28" s="10"/>
      <c r="O28" s="10"/>
      <c r="P28" s="10"/>
      <c r="Q28" s="10"/>
      <c r="R28" s="10"/>
      <c r="S28" s="10"/>
      <c r="T28" s="10"/>
      <c r="U28" s="10"/>
      <c r="V28" s="10"/>
      <c r="W28" s="10"/>
      <c r="X28" s="49">
        <f t="shared" si="1"/>
        <v>4000</v>
      </c>
      <c r="Y28" s="50">
        <f>(X28*'User input'!$W$7*'User input'!$D$9)-'Price list'!$BI$25</f>
        <v>17200</v>
      </c>
      <c r="Z28" s="50">
        <f>(X28*'User input'!$W$7*'User input'!$D$9)-'Price list'!$P$35</f>
        <v>17200</v>
      </c>
      <c r="AA28" s="51">
        <v>0</v>
      </c>
      <c r="AB28" s="5"/>
      <c r="AC28" s="61">
        <v>90</v>
      </c>
      <c r="AD28" s="50">
        <f>('User input'!$W$12*(AC28/100)*'User input'!$W$7*'User input'!$D$9)-'Price list'!$BI$25</f>
        <v>47600</v>
      </c>
      <c r="AE28" s="50">
        <f>('User input'!$W$12*(AC28/100)*'User input'!$W$7*'User input'!$D$9)-('Price list'!$N$35*'User input'!$D$9)</f>
        <v>47600</v>
      </c>
      <c r="AF28" s="51">
        <v>0</v>
      </c>
      <c r="AG28" s="10"/>
      <c r="AH28" s="10"/>
      <c r="AI28" s="10"/>
      <c r="AJ28" s="10"/>
      <c r="AK28" s="10"/>
      <c r="AL28" s="10"/>
      <c r="AM28" s="10"/>
      <c r="AN28" s="10"/>
      <c r="AO28" s="10"/>
      <c r="AP28" s="10"/>
      <c r="AQ28" s="10"/>
      <c r="AR28" s="10"/>
      <c r="AS28" s="10"/>
      <c r="AT28" s="10"/>
      <c r="AU28" s="10"/>
      <c r="AV28" s="10"/>
      <c r="AW28" s="10"/>
      <c r="AX28" s="10"/>
      <c r="AY28" s="10"/>
      <c r="AZ28" s="10"/>
    </row>
    <row r="29" spans="1:52" ht="14.7" thickBot="1" x14ac:dyDescent="0.55000000000000004">
      <c r="A29" s="10"/>
      <c r="B29" s="10"/>
      <c r="C29" s="10"/>
      <c r="D29" s="10"/>
      <c r="E29" s="10"/>
      <c r="F29" s="10"/>
      <c r="G29" s="10"/>
      <c r="H29" s="10"/>
      <c r="I29" s="10"/>
      <c r="J29" s="10"/>
      <c r="K29" s="10"/>
      <c r="L29" s="10"/>
      <c r="M29" s="10"/>
      <c r="N29" s="10"/>
      <c r="O29" s="10"/>
      <c r="P29" s="10"/>
      <c r="Q29" s="10"/>
      <c r="R29" s="10"/>
      <c r="S29" s="10"/>
      <c r="T29" s="10"/>
      <c r="U29" s="10"/>
      <c r="V29" s="10"/>
      <c r="W29" s="10"/>
      <c r="X29" s="49">
        <f t="shared" si="1"/>
        <v>5000</v>
      </c>
      <c r="Y29" s="50">
        <f>(X29*'User input'!$W$7*'User input'!$D$9)-'Price list'!$BI$25</f>
        <v>25200</v>
      </c>
      <c r="Z29" s="50">
        <f>(X29*'User input'!$W$7*'User input'!$D$9)-'Price list'!$P$35</f>
        <v>25200</v>
      </c>
      <c r="AA29" s="51">
        <v>0</v>
      </c>
      <c r="AB29" s="5"/>
      <c r="AC29" s="62">
        <v>100</v>
      </c>
      <c r="AD29" s="63">
        <f>('User input'!$W$12*(AC29/100)*'User input'!$W$7*'User input'!$D$9)-'Price list'!$BI$25</f>
        <v>54533.333333333328</v>
      </c>
      <c r="AE29" s="63">
        <f>('User input'!$W$12*(AC29/100)*'User input'!$W$7*'User input'!$D$9)-('Price list'!$N$35*'User input'!$D$9)</f>
        <v>54533.333333333328</v>
      </c>
      <c r="AF29" s="64">
        <v>0</v>
      </c>
      <c r="AG29" s="10"/>
      <c r="AH29" s="10"/>
      <c r="AI29" s="10"/>
      <c r="AJ29" s="10"/>
      <c r="AK29" s="10"/>
      <c r="AL29" s="10"/>
      <c r="AM29" s="10"/>
      <c r="AN29" s="10"/>
      <c r="AO29" s="10"/>
      <c r="AP29" s="10"/>
      <c r="AQ29" s="10"/>
      <c r="AR29" s="10"/>
      <c r="AS29" s="10"/>
      <c r="AT29" s="10"/>
      <c r="AU29" s="10"/>
      <c r="AV29" s="10"/>
      <c r="AW29" s="10"/>
      <c r="AX29" s="10"/>
      <c r="AY29" s="10"/>
      <c r="AZ29" s="10"/>
    </row>
    <row r="30" spans="1:52" ht="14.7" thickTop="1" x14ac:dyDescent="0.5">
      <c r="A30" s="10"/>
      <c r="B30" s="10"/>
      <c r="C30" s="10"/>
      <c r="D30" s="10"/>
      <c r="E30" s="10"/>
      <c r="F30" s="10"/>
      <c r="G30" s="10"/>
      <c r="H30" s="10"/>
      <c r="I30" s="10"/>
      <c r="J30" s="10"/>
      <c r="K30" s="10"/>
      <c r="L30" s="10"/>
      <c r="M30" s="10"/>
      <c r="N30" s="10"/>
      <c r="O30" s="10"/>
      <c r="P30" s="10"/>
      <c r="Q30" s="10"/>
      <c r="R30" s="10"/>
      <c r="S30" s="10"/>
      <c r="T30" s="10"/>
      <c r="U30" s="10"/>
      <c r="V30" s="10"/>
      <c r="W30" s="10"/>
      <c r="X30" s="49">
        <f t="shared" si="1"/>
        <v>6000</v>
      </c>
      <c r="Y30" s="50">
        <f>(X30*'User input'!$W$7*'User input'!$D$9)-'Price list'!$BI$25</f>
        <v>33200</v>
      </c>
      <c r="Z30" s="50">
        <f>(X30*'User input'!$W$7*'User input'!$D$9)-'Price list'!$P$35</f>
        <v>33200</v>
      </c>
      <c r="AA30" s="51">
        <v>0</v>
      </c>
      <c r="AB30" s="5"/>
      <c r="AC30" s="5"/>
      <c r="AD30" s="5"/>
      <c r="AE30" s="5"/>
      <c r="AF30" s="5"/>
      <c r="AG30" s="10"/>
      <c r="AH30" s="10"/>
      <c r="AI30" s="10"/>
      <c r="AJ30" s="10"/>
      <c r="AK30" s="10"/>
      <c r="AL30" s="10"/>
      <c r="AM30" s="10"/>
      <c r="AN30" s="10"/>
      <c r="AO30" s="10"/>
      <c r="AP30" s="10"/>
      <c r="AQ30" s="10"/>
      <c r="AR30" s="10"/>
      <c r="AS30" s="10"/>
      <c r="AT30" s="10"/>
      <c r="AU30" s="10"/>
      <c r="AV30" s="10"/>
      <c r="AW30" s="10"/>
      <c r="AX30" s="10"/>
      <c r="AY30" s="10"/>
      <c r="AZ30" s="10"/>
    </row>
    <row r="31" spans="1:52" x14ac:dyDescent="0.5">
      <c r="A31" s="10"/>
      <c r="B31" s="10"/>
      <c r="C31" s="10"/>
      <c r="D31" s="10"/>
      <c r="E31" s="10"/>
      <c r="F31" s="10"/>
      <c r="G31" s="10"/>
      <c r="H31" s="10"/>
      <c r="I31" s="10"/>
      <c r="J31" s="10"/>
      <c r="K31" s="10"/>
      <c r="L31" s="10"/>
      <c r="M31" s="10"/>
      <c r="N31" s="10"/>
      <c r="O31" s="10"/>
      <c r="P31" s="10"/>
      <c r="Q31" s="10"/>
      <c r="R31" s="10"/>
      <c r="S31" s="10"/>
      <c r="T31" s="10"/>
      <c r="U31" s="10"/>
      <c r="V31" s="10"/>
      <c r="W31" s="10"/>
      <c r="X31" s="49">
        <f t="shared" si="1"/>
        <v>7000</v>
      </c>
      <c r="Y31" s="50">
        <f>(X31*'User input'!$W$7*'User input'!$D$9)-'Price list'!$BI$25</f>
        <v>41200</v>
      </c>
      <c r="Z31" s="50">
        <f>(X31*'User input'!$W$7*'User input'!$D$9)-'Price list'!$P$35</f>
        <v>41200</v>
      </c>
      <c r="AA31" s="51">
        <v>0</v>
      </c>
      <c r="AB31" s="5"/>
      <c r="AC31" s="5"/>
      <c r="AD31" s="5"/>
      <c r="AE31" s="5"/>
      <c r="AF31" s="5"/>
      <c r="AG31" s="10"/>
      <c r="AH31" s="10"/>
      <c r="AI31" s="10"/>
      <c r="AJ31" s="10"/>
      <c r="AK31" s="10"/>
      <c r="AL31" s="10"/>
      <c r="AM31" s="10"/>
      <c r="AN31" s="10"/>
      <c r="AO31" s="10"/>
      <c r="AP31" s="10"/>
      <c r="AQ31" s="10"/>
      <c r="AR31" s="10"/>
      <c r="AS31" s="10"/>
      <c r="AT31" s="10"/>
      <c r="AU31" s="10"/>
      <c r="AV31" s="10"/>
      <c r="AW31" s="10"/>
      <c r="AX31" s="10"/>
      <c r="AY31" s="10"/>
      <c r="AZ31" s="10"/>
    </row>
    <row r="32" spans="1:52" x14ac:dyDescent="0.5">
      <c r="A32" s="10"/>
      <c r="B32" s="10"/>
      <c r="C32" s="10"/>
      <c r="D32" s="10"/>
      <c r="E32" s="10"/>
      <c r="F32" s="10"/>
      <c r="G32" s="10"/>
      <c r="H32" s="10"/>
      <c r="I32" s="10"/>
      <c r="J32" s="10"/>
      <c r="K32" s="10"/>
      <c r="L32" s="10"/>
      <c r="M32" s="10"/>
      <c r="N32" s="10"/>
      <c r="O32" s="10"/>
      <c r="P32" s="10"/>
      <c r="Q32" s="10"/>
      <c r="R32" s="10"/>
      <c r="S32" s="10"/>
      <c r="T32" s="10"/>
      <c r="U32" s="10"/>
      <c r="V32" s="10"/>
      <c r="W32" s="10"/>
      <c r="X32" s="49">
        <f t="shared" si="1"/>
        <v>8000</v>
      </c>
      <c r="Y32" s="50">
        <f>(X32*'User input'!$W$7*'User input'!$D$9)-'Price list'!$BI$25</f>
        <v>49200</v>
      </c>
      <c r="Z32" s="50">
        <f>(X32*'User input'!$W$7*'User input'!$D$9)-'Price list'!$P$35</f>
        <v>49200</v>
      </c>
      <c r="AA32" s="51">
        <v>0</v>
      </c>
      <c r="AB32" s="5"/>
      <c r="AC32" s="5"/>
      <c r="AD32" s="5"/>
      <c r="AE32" s="5"/>
      <c r="AF32" s="5"/>
      <c r="AG32" s="10"/>
      <c r="AH32" s="10"/>
      <c r="AI32" s="10"/>
      <c r="AJ32" s="10"/>
      <c r="AK32" s="10"/>
      <c r="AL32" s="10"/>
      <c r="AM32" s="10"/>
      <c r="AN32" s="10"/>
      <c r="AO32" s="10"/>
      <c r="AP32" s="10"/>
      <c r="AQ32" s="10"/>
      <c r="AR32" s="10"/>
      <c r="AS32" s="10"/>
      <c r="AT32" s="10"/>
      <c r="AU32" s="10"/>
      <c r="AV32" s="10"/>
      <c r="AW32" s="10"/>
      <c r="AX32" s="10"/>
      <c r="AY32" s="10"/>
      <c r="AZ32" s="10"/>
    </row>
    <row r="33" spans="1:52" x14ac:dyDescent="0.5">
      <c r="A33" s="10"/>
      <c r="B33" s="10"/>
      <c r="C33" s="10"/>
      <c r="D33" s="10"/>
      <c r="E33" s="10"/>
      <c r="F33" s="10"/>
      <c r="G33" s="10"/>
      <c r="H33" s="10"/>
      <c r="I33" s="10"/>
      <c r="J33" s="10"/>
      <c r="K33" s="10"/>
      <c r="L33" s="10"/>
      <c r="M33" s="10"/>
      <c r="N33" s="10"/>
      <c r="O33" s="10"/>
      <c r="P33" s="10"/>
      <c r="Q33" s="10"/>
      <c r="R33" s="10"/>
      <c r="S33" s="10"/>
      <c r="T33" s="10"/>
      <c r="U33" s="10"/>
      <c r="V33" s="10"/>
      <c r="W33" s="10"/>
      <c r="X33" s="49">
        <f t="shared" si="1"/>
        <v>9000</v>
      </c>
      <c r="Y33" s="50">
        <f>(X33*'User input'!$W$7*'User input'!$D$9)-'Price list'!$BI$25</f>
        <v>57200</v>
      </c>
      <c r="Z33" s="50">
        <f>(X33*'User input'!$W$7*'User input'!$D$9)-'Price list'!$P$35</f>
        <v>57200</v>
      </c>
      <c r="AA33" s="51">
        <v>0</v>
      </c>
      <c r="AB33" s="5"/>
      <c r="AC33" s="5"/>
      <c r="AD33" s="5"/>
      <c r="AE33" s="5"/>
      <c r="AF33" s="5"/>
      <c r="AG33" s="10"/>
      <c r="AH33" s="10"/>
      <c r="AI33" s="10"/>
      <c r="AJ33" s="10"/>
      <c r="AK33" s="10"/>
      <c r="AL33" s="10"/>
      <c r="AM33" s="10"/>
      <c r="AN33" s="10"/>
      <c r="AO33" s="10"/>
      <c r="AP33" s="10"/>
      <c r="AQ33" s="10"/>
      <c r="AR33" s="10"/>
      <c r="AS33" s="10"/>
      <c r="AT33" s="10"/>
      <c r="AU33" s="10"/>
      <c r="AV33" s="10"/>
      <c r="AW33" s="10"/>
      <c r="AX33" s="10"/>
      <c r="AY33" s="10"/>
      <c r="AZ33" s="10"/>
    </row>
    <row r="34" spans="1:52" x14ac:dyDescent="0.5">
      <c r="A34" s="10"/>
      <c r="B34" s="10"/>
      <c r="C34" s="10"/>
      <c r="D34" s="10"/>
      <c r="E34" s="10"/>
      <c r="F34" s="10"/>
      <c r="G34" s="10"/>
      <c r="H34" s="10"/>
      <c r="I34" s="10"/>
      <c r="J34" s="10"/>
      <c r="K34" s="10"/>
      <c r="L34" s="10"/>
      <c r="M34" s="10"/>
      <c r="N34" s="10"/>
      <c r="O34" s="10"/>
      <c r="P34" s="10"/>
      <c r="Q34" s="10"/>
      <c r="R34" s="10"/>
      <c r="S34" s="10"/>
      <c r="T34" s="10"/>
      <c r="U34" s="10"/>
      <c r="V34" s="10"/>
      <c r="W34" s="10"/>
      <c r="X34" s="49">
        <f t="shared" si="1"/>
        <v>10000</v>
      </c>
      <c r="Y34" s="50">
        <f>(X34*'User input'!$W$7*'User input'!$D$9)-'Price list'!$BI$25</f>
        <v>65200</v>
      </c>
      <c r="Z34" s="50">
        <f>(X34*'User input'!$W$7*'User input'!$D$9)-'Price list'!$P$35</f>
        <v>65200</v>
      </c>
      <c r="AA34" s="51">
        <v>0</v>
      </c>
      <c r="AB34" s="5"/>
      <c r="AC34" s="5"/>
      <c r="AD34" s="5"/>
      <c r="AE34" s="5"/>
      <c r="AF34" s="5"/>
      <c r="AG34" s="10"/>
      <c r="AH34" s="10"/>
      <c r="AI34" s="10"/>
      <c r="AJ34" s="10"/>
      <c r="AK34" s="10"/>
      <c r="AL34" s="10"/>
      <c r="AM34" s="10"/>
      <c r="AN34" s="10"/>
      <c r="AO34" s="10"/>
      <c r="AP34" s="10"/>
      <c r="AQ34" s="10"/>
      <c r="AR34" s="10"/>
      <c r="AS34" s="10"/>
      <c r="AT34" s="10"/>
      <c r="AU34" s="10"/>
      <c r="AV34" s="10"/>
      <c r="AW34" s="10"/>
      <c r="AX34" s="10"/>
      <c r="AY34" s="10"/>
      <c r="AZ34" s="10"/>
    </row>
    <row r="35" spans="1:52" x14ac:dyDescent="0.5">
      <c r="A35" s="10"/>
      <c r="B35" s="10"/>
      <c r="C35" s="10"/>
      <c r="D35" s="10"/>
      <c r="E35" s="10"/>
      <c r="F35" s="10"/>
      <c r="G35" s="10"/>
      <c r="H35" s="10"/>
      <c r="I35" s="10"/>
      <c r="J35" s="10"/>
      <c r="K35" s="10"/>
      <c r="L35" s="10"/>
      <c r="M35" s="10"/>
      <c r="N35" s="10"/>
      <c r="O35" s="10"/>
      <c r="P35" s="10"/>
      <c r="Q35" s="10"/>
      <c r="R35" s="10"/>
      <c r="S35" s="10"/>
      <c r="T35" s="10"/>
      <c r="U35" s="10"/>
      <c r="V35" s="10"/>
      <c r="W35" s="10"/>
      <c r="X35" s="49">
        <f t="shared" si="1"/>
        <v>11000</v>
      </c>
      <c r="Y35" s="50">
        <f>(X35*'User input'!$W$7*'User input'!$D$9)-'Price list'!$BI$25</f>
        <v>73200</v>
      </c>
      <c r="Z35" s="50">
        <f>(X35*'User input'!$W$7*'User input'!$D$9)-'Price list'!$P$35</f>
        <v>73200</v>
      </c>
      <c r="AA35" s="51">
        <v>0</v>
      </c>
      <c r="AB35" s="5"/>
      <c r="AC35" s="5"/>
      <c r="AD35" s="5"/>
      <c r="AE35" s="5"/>
      <c r="AF35" s="5"/>
      <c r="AG35" s="10"/>
      <c r="AH35" s="10"/>
      <c r="AI35" s="10"/>
      <c r="AJ35" s="10"/>
      <c r="AK35" s="10"/>
      <c r="AL35" s="10"/>
      <c r="AM35" s="10"/>
      <c r="AN35" s="10"/>
      <c r="AO35" s="10"/>
      <c r="AP35" s="10"/>
      <c r="AQ35" s="10"/>
      <c r="AR35" s="10"/>
      <c r="AS35" s="10"/>
      <c r="AT35" s="10"/>
      <c r="AU35" s="10"/>
      <c r="AV35" s="10"/>
      <c r="AW35" s="10"/>
      <c r="AX35" s="10"/>
      <c r="AY35" s="10"/>
      <c r="AZ35" s="10"/>
    </row>
    <row r="36" spans="1:52" x14ac:dyDescent="0.5">
      <c r="A36" s="10"/>
      <c r="B36" s="10"/>
      <c r="C36" s="10"/>
      <c r="D36" s="10"/>
      <c r="E36" s="10"/>
      <c r="F36" s="10"/>
      <c r="G36" s="10"/>
      <c r="H36" s="10"/>
      <c r="I36" s="10"/>
      <c r="J36" s="10"/>
      <c r="K36" s="10"/>
      <c r="L36" s="10"/>
      <c r="M36" s="10"/>
      <c r="N36" s="10"/>
      <c r="O36" s="10"/>
      <c r="P36" s="10"/>
      <c r="Q36" s="10"/>
      <c r="R36" s="10"/>
      <c r="S36" s="10"/>
      <c r="T36" s="10"/>
      <c r="U36" s="10"/>
      <c r="V36" s="10"/>
      <c r="W36" s="10"/>
      <c r="X36" s="49">
        <f t="shared" si="1"/>
        <v>12000</v>
      </c>
      <c r="Y36" s="50">
        <f>(X36*'User input'!$W$7*'User input'!$D$9)-'Price list'!$BI$25</f>
        <v>81200</v>
      </c>
      <c r="Z36" s="50">
        <f>(X36*'User input'!$W$7*'User input'!$D$9)-'Price list'!$P$35</f>
        <v>81200</v>
      </c>
      <c r="AA36" s="51">
        <v>0</v>
      </c>
      <c r="AB36" s="5"/>
      <c r="AC36" s="5"/>
      <c r="AD36" s="5"/>
      <c r="AE36" s="5"/>
      <c r="AF36" s="5"/>
      <c r="AG36" s="10"/>
      <c r="AH36" s="10"/>
      <c r="AI36" s="10"/>
      <c r="AJ36" s="10"/>
      <c r="AK36" s="10"/>
      <c r="AL36" s="10"/>
      <c r="AM36" s="10"/>
      <c r="AN36" s="10"/>
      <c r="AO36" s="10"/>
      <c r="AP36" s="10"/>
      <c r="AQ36" s="10"/>
      <c r="AR36" s="10"/>
      <c r="AS36" s="10"/>
      <c r="AT36" s="10"/>
      <c r="AU36" s="10"/>
      <c r="AV36" s="10"/>
      <c r="AW36" s="10"/>
      <c r="AX36" s="10"/>
      <c r="AY36" s="10"/>
      <c r="AZ36" s="10"/>
    </row>
    <row r="37" spans="1:52" x14ac:dyDescent="0.5">
      <c r="A37" s="10"/>
      <c r="B37" s="10"/>
      <c r="C37" s="10"/>
      <c r="D37" s="10"/>
      <c r="E37" s="10"/>
      <c r="F37" s="10"/>
      <c r="G37" s="10"/>
      <c r="H37" s="10"/>
      <c r="I37" s="10"/>
      <c r="J37" s="10"/>
      <c r="K37" s="10"/>
      <c r="L37" s="10"/>
      <c r="M37" s="10"/>
      <c r="N37" s="10"/>
      <c r="O37" s="10"/>
      <c r="P37" s="10"/>
      <c r="Q37" s="10"/>
      <c r="R37" s="10"/>
      <c r="S37" s="10"/>
      <c r="T37" s="10"/>
      <c r="U37" s="10"/>
      <c r="V37" s="10"/>
      <c r="W37" s="10"/>
      <c r="X37" s="49">
        <f t="shared" si="1"/>
        <v>13000</v>
      </c>
      <c r="Y37" s="50">
        <f>(X37*'User input'!$W$7*'User input'!$D$9)-'Price list'!$BI$25</f>
        <v>89200</v>
      </c>
      <c r="Z37" s="50">
        <f>(X37*'User input'!$W$7*'User input'!$D$9)-'Price list'!$P$35</f>
        <v>89200</v>
      </c>
      <c r="AA37" s="51">
        <v>0</v>
      </c>
      <c r="AB37" s="5"/>
      <c r="AC37" s="5"/>
      <c r="AD37" s="5"/>
      <c r="AE37" s="5"/>
      <c r="AF37" s="5"/>
      <c r="AG37" s="10"/>
      <c r="AH37" s="10"/>
      <c r="AI37" s="10"/>
      <c r="AJ37" s="10"/>
      <c r="AK37" s="10"/>
      <c r="AL37" s="10"/>
      <c r="AM37" s="10"/>
      <c r="AN37" s="10"/>
      <c r="AO37" s="10"/>
      <c r="AP37" s="10"/>
      <c r="AQ37" s="10"/>
      <c r="AR37" s="10"/>
      <c r="AS37" s="10"/>
      <c r="AT37" s="10"/>
      <c r="AU37" s="10"/>
      <c r="AV37" s="10"/>
      <c r="AW37" s="10"/>
      <c r="AX37" s="10"/>
      <c r="AY37" s="10"/>
      <c r="AZ37" s="10"/>
    </row>
    <row r="38" spans="1:52" x14ac:dyDescent="0.5">
      <c r="A38" s="10"/>
      <c r="B38" s="10"/>
      <c r="C38" s="10"/>
      <c r="D38" s="10"/>
      <c r="E38" s="10"/>
      <c r="F38" s="10"/>
      <c r="G38" s="10"/>
      <c r="H38" s="10"/>
      <c r="I38" s="10"/>
      <c r="J38" s="10"/>
      <c r="K38" s="10"/>
      <c r="L38" s="10"/>
      <c r="M38" s="10"/>
      <c r="N38" s="10"/>
      <c r="O38" s="10"/>
      <c r="P38" s="10"/>
      <c r="Q38" s="10"/>
      <c r="R38" s="10"/>
      <c r="S38" s="10"/>
      <c r="T38" s="10"/>
      <c r="U38" s="10"/>
      <c r="V38" s="10"/>
      <c r="W38" s="10"/>
      <c r="X38" s="49">
        <f t="shared" si="1"/>
        <v>14000</v>
      </c>
      <c r="Y38" s="50">
        <f>(X38*'User input'!$W$7*'User input'!$D$9)-'Price list'!$BI$25</f>
        <v>97200</v>
      </c>
      <c r="Z38" s="50">
        <f>(X38*'User input'!$W$7*'User input'!$D$9)-'Price list'!$P$35</f>
        <v>97200</v>
      </c>
      <c r="AA38" s="51">
        <v>0</v>
      </c>
      <c r="AB38" s="5"/>
      <c r="AC38" s="5"/>
      <c r="AD38" s="5"/>
      <c r="AE38" s="5"/>
      <c r="AF38" s="5"/>
      <c r="AG38" s="10"/>
      <c r="AH38" s="10"/>
      <c r="AI38" s="10"/>
      <c r="AJ38" s="10"/>
      <c r="AK38" s="10"/>
      <c r="AL38" s="10"/>
      <c r="AM38" s="10"/>
      <c r="AN38" s="10"/>
      <c r="AO38" s="10"/>
      <c r="AP38" s="10"/>
      <c r="AQ38" s="10"/>
      <c r="AR38" s="10"/>
      <c r="AS38" s="10"/>
      <c r="AT38" s="10"/>
      <c r="AU38" s="10"/>
      <c r="AV38" s="10"/>
      <c r="AW38" s="10"/>
      <c r="AX38" s="10"/>
      <c r="AY38" s="10"/>
      <c r="AZ38" s="10"/>
    </row>
    <row r="39" spans="1:52" ht="14.7" thickBot="1" x14ac:dyDescent="0.55000000000000004">
      <c r="A39" s="10"/>
      <c r="B39" s="10"/>
      <c r="C39" s="10"/>
      <c r="D39" s="10"/>
      <c r="E39" s="10"/>
      <c r="F39" s="10"/>
      <c r="G39" s="10"/>
      <c r="H39" s="10"/>
      <c r="I39" s="10"/>
      <c r="J39" s="10"/>
      <c r="K39" s="10"/>
      <c r="L39" s="10"/>
      <c r="M39" s="10"/>
      <c r="N39" s="10"/>
      <c r="O39" s="10"/>
      <c r="P39" s="10"/>
      <c r="Q39" s="10"/>
      <c r="R39" s="10"/>
      <c r="S39" s="10"/>
      <c r="T39" s="10"/>
      <c r="U39" s="10"/>
      <c r="V39" s="10"/>
      <c r="W39" s="10"/>
      <c r="X39" s="52">
        <f t="shared" si="1"/>
        <v>15000</v>
      </c>
      <c r="Y39" s="53">
        <f>(X39*'User input'!$W$7*'User input'!$D$9)-'Price list'!$BI$25</f>
        <v>105200</v>
      </c>
      <c r="Z39" s="53">
        <f>(X39*'User input'!$W$7*'User input'!$D$9)-'Price list'!$P$35</f>
        <v>105200</v>
      </c>
      <c r="AA39" s="54">
        <v>0</v>
      </c>
      <c r="AB39" s="5"/>
      <c r="AC39" s="5"/>
      <c r="AD39" s="5"/>
      <c r="AE39" s="5"/>
      <c r="AF39" s="5"/>
      <c r="AG39" s="10"/>
      <c r="AH39" s="10"/>
      <c r="AI39" s="10"/>
      <c r="AJ39" s="10"/>
      <c r="AK39" s="10"/>
      <c r="AL39" s="10"/>
      <c r="AM39" s="10"/>
      <c r="AN39" s="10"/>
      <c r="AO39" s="10"/>
      <c r="AP39" s="10"/>
      <c r="AQ39" s="10"/>
      <c r="AR39" s="10"/>
      <c r="AS39" s="10"/>
      <c r="AT39" s="10"/>
      <c r="AU39" s="10"/>
      <c r="AV39" s="10"/>
      <c r="AW39" s="10"/>
      <c r="AX39" s="10"/>
      <c r="AY39" s="10"/>
      <c r="AZ39" s="10"/>
    </row>
    <row r="40" spans="1:52" ht="14.7" thickTop="1" x14ac:dyDescent="0.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x14ac:dyDescent="0.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row>
    <row r="42" spans="1:52" x14ac:dyDescent="0.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row>
    <row r="43" spans="1:52" x14ac:dyDescent="0.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row>
    <row r="44" spans="1:52" x14ac:dyDescent="0.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row>
    <row r="45" spans="1:52" x14ac:dyDescent="0.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row>
    <row r="46" spans="1:52" x14ac:dyDescent="0.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row>
    <row r="47" spans="1:52" x14ac:dyDescent="0.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row>
    <row r="48" spans="1:52" x14ac:dyDescent="0.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row>
    <row r="49" spans="1:52" x14ac:dyDescent="0.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row>
    <row r="50" spans="1:52" x14ac:dyDescent="0.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row>
    <row r="51" spans="1:52" x14ac:dyDescent="0.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row>
    <row r="52" spans="1:52" x14ac:dyDescent="0.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row>
    <row r="53" spans="1:52" x14ac:dyDescent="0.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row>
    <row r="54" spans="1:52" x14ac:dyDescent="0.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row>
    <row r="55" spans="1:52" x14ac:dyDescent="0.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row>
    <row r="56" spans="1:52" x14ac:dyDescent="0.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row>
    <row r="57" spans="1:52" x14ac:dyDescent="0.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row>
    <row r="58" spans="1:52" x14ac:dyDescent="0.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row>
    <row r="59" spans="1:52" x14ac:dyDescent="0.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row>
    <row r="60" spans="1:52" x14ac:dyDescent="0.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row>
    <row r="61" spans="1:52" x14ac:dyDescent="0.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row>
    <row r="62" spans="1:52" x14ac:dyDescent="0.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row>
    <row r="63" spans="1:52" x14ac:dyDescent="0.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row>
    <row r="64" spans="1:52" x14ac:dyDescent="0.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row>
    <row r="65" spans="1:52" x14ac:dyDescent="0.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row>
    <row r="66" spans="1:52" x14ac:dyDescent="0.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row>
    <row r="67" spans="1:52" x14ac:dyDescent="0.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row>
    <row r="68" spans="1:52" x14ac:dyDescent="0.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row>
    <row r="69" spans="1:52" x14ac:dyDescent="0.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row>
    <row r="70" spans="1:52" x14ac:dyDescent="0.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row>
  </sheetData>
  <sheetProtection algorithmName="SHA-512" hashValue="72cSWdpOXCCVZ9YAilUwdXl3qQ/0Uv8wBKB6GTG17+fstuP12KMTNZo9xYlPL7wom3qEqon+8kYcJYIWcg0qUQ==" saltValue="KGMovPp3QMN8b7SNLMmwyw==" spinCount="100000" sheet="1" objects="1" scenarios="1" selectLockedCells="1"/>
  <mergeCells count="6">
    <mergeCell ref="A1:U1"/>
    <mergeCell ref="X22:AA22"/>
    <mergeCell ref="AC17:AF17"/>
    <mergeCell ref="X3:AA3"/>
    <mergeCell ref="AC3:AF3"/>
    <mergeCell ref="B3:U3"/>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Q114"/>
  <sheetViews>
    <sheetView topLeftCell="A2" zoomScale="80" zoomScaleNormal="80" workbookViewId="0">
      <selection activeCell="C71" sqref="C71"/>
    </sheetView>
  </sheetViews>
  <sheetFormatPr defaultRowHeight="14.35" x14ac:dyDescent="0.5"/>
  <cols>
    <col min="1" max="1" width="2.52734375" style="1" customWidth="1"/>
    <col min="2" max="2" width="21.234375" customWidth="1"/>
    <col min="3" max="3" width="15.17578125" customWidth="1"/>
    <col min="4" max="4" width="5.5859375" customWidth="1"/>
    <col min="5" max="5" width="11.1171875" customWidth="1"/>
    <col min="6" max="6" width="9.87890625" customWidth="1"/>
    <col min="7" max="7" width="12.05859375" customWidth="1"/>
    <col min="8" max="8" width="7.64453125" customWidth="1"/>
    <col min="9" max="9" width="12.64453125" customWidth="1"/>
    <col min="10" max="10" width="12.9375" customWidth="1"/>
    <col min="11" max="11" width="30.41015625" customWidth="1"/>
    <col min="12" max="12" width="3.8203125" customWidth="1"/>
    <col min="13" max="13" width="30.1171875" customWidth="1"/>
    <col min="14" max="14" width="24.64453125" customWidth="1"/>
    <col min="15" max="15" width="6" customWidth="1"/>
    <col min="16" max="16" width="11.8203125" style="163" customWidth="1"/>
    <col min="17" max="17" width="6" style="163" customWidth="1"/>
    <col min="18" max="18" width="18.1171875" style="163" customWidth="1"/>
    <col min="19" max="19" width="6.05859375" style="163" customWidth="1"/>
    <col min="20" max="20" width="2.8203125" style="163" customWidth="1"/>
    <col min="21" max="21" width="23.3515625" style="163" customWidth="1"/>
    <col min="22" max="22" width="15.17578125" style="163" customWidth="1"/>
    <col min="23" max="23" width="8.703125" style="163" customWidth="1"/>
    <col min="24" max="24" width="3.1171875" style="163" customWidth="1"/>
    <col min="25" max="25" width="23.87890625" style="163" customWidth="1"/>
    <col min="26" max="26" width="12.17578125" style="163" customWidth="1"/>
    <col min="27" max="27" width="11" style="163" customWidth="1"/>
    <col min="28" max="28" width="15.17578125" style="163" customWidth="1"/>
    <col min="29" max="29" width="9.05859375" style="163"/>
    <col min="30" max="30" width="4.9375" style="163" customWidth="1"/>
    <col min="31" max="31" width="2.87890625" style="163" customWidth="1"/>
    <col min="32" max="32" width="23.52734375" style="163" customWidth="1"/>
    <col min="33" max="33" width="26.1171875" style="163" customWidth="1"/>
    <col min="34" max="34" width="9.1171875" style="163" customWidth="1"/>
    <col min="35" max="35" width="4" style="163" customWidth="1"/>
    <col min="36" max="36" width="29.64453125" style="163" customWidth="1"/>
    <col min="37" max="37" width="12.05859375" style="163" customWidth="1"/>
    <col min="38" max="38" width="5.234375" style="163" customWidth="1"/>
    <col min="39" max="39" width="4" style="163" customWidth="1"/>
    <col min="40" max="40" width="21.41015625" style="163" customWidth="1"/>
    <col min="41" max="41" width="19.234375" style="163" customWidth="1"/>
    <col min="42" max="42" width="16.5859375" style="163" customWidth="1"/>
    <col min="43" max="50" width="18.703125" style="163" customWidth="1"/>
    <col min="51" max="51" width="18.9375" style="163" customWidth="1"/>
    <col min="52" max="52" width="17.9375" style="163" customWidth="1"/>
    <col min="53" max="53" width="15.9375" style="163" customWidth="1"/>
    <col min="54" max="54" width="6.703125" style="163" customWidth="1"/>
    <col min="55" max="55" width="3.5859375" style="163" customWidth="1"/>
    <col min="56" max="56" width="26.1171875" style="163" customWidth="1"/>
    <col min="57" max="57" width="16.9375" style="163" customWidth="1"/>
    <col min="58" max="58" width="7.17578125" style="163" customWidth="1"/>
    <col min="59" max="59" width="12.8203125" style="163" customWidth="1"/>
    <col min="60" max="60" width="5.64453125" style="163" customWidth="1"/>
    <col min="61" max="61" width="21" style="163" customWidth="1"/>
    <col min="62" max="62" width="6.703125" style="163" customWidth="1"/>
    <col min="63" max="63" width="9.52734375" style="163" customWidth="1"/>
    <col min="64" max="64" width="3.87890625" style="163" customWidth="1"/>
  </cols>
  <sheetData>
    <row r="1" spans="1:69" ht="23.7" hidden="1" customHeight="1" x14ac:dyDescent="0.5">
      <c r="A1" s="384"/>
      <c r="B1" s="384"/>
      <c r="C1" s="384"/>
      <c r="D1" s="384"/>
      <c r="E1" s="384"/>
      <c r="F1" s="384"/>
      <c r="G1" s="384"/>
      <c r="H1" s="384"/>
      <c r="I1" s="384"/>
      <c r="J1" s="384"/>
      <c r="K1" s="384"/>
      <c r="L1" s="5"/>
      <c r="M1" s="5"/>
      <c r="N1" s="5"/>
      <c r="O1" s="5"/>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36"/>
      <c r="BD1" s="118"/>
      <c r="BE1" s="118"/>
      <c r="BF1" s="118"/>
      <c r="BG1" s="118"/>
      <c r="BH1" s="118"/>
      <c r="BI1" s="118"/>
      <c r="BJ1" s="118"/>
      <c r="BK1" s="118"/>
      <c r="BL1" s="118"/>
      <c r="BM1" s="5"/>
      <c r="BN1" s="5"/>
      <c r="BO1" s="5"/>
      <c r="BP1" s="5"/>
      <c r="BQ1" s="5"/>
    </row>
    <row r="2" spans="1:69" s="1" customFormat="1" ht="28.5" customHeight="1" thickBot="1" x14ac:dyDescent="0.55000000000000004">
      <c r="A2" s="38"/>
      <c r="B2" s="38"/>
      <c r="C2" s="38"/>
      <c r="D2" s="38"/>
      <c r="E2" s="38"/>
      <c r="F2" s="38"/>
      <c r="G2" s="38"/>
      <c r="H2" s="38"/>
      <c r="I2" s="38"/>
      <c r="J2" s="38"/>
      <c r="K2" s="38"/>
      <c r="L2" s="38"/>
      <c r="M2" s="38"/>
      <c r="N2" s="38"/>
      <c r="O2" s="38"/>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38"/>
      <c r="BN2" s="38"/>
      <c r="BO2" s="38"/>
      <c r="BP2" s="38"/>
      <c r="BQ2" s="38"/>
    </row>
    <row r="3" spans="1:69" ht="18.7" thickTop="1" thickBot="1" x14ac:dyDescent="0.55000000000000004">
      <c r="A3" s="5"/>
      <c r="B3" s="385" t="str">
        <f>("Agrochemical Costs    ---&gt;    "&amp;'User input'!D7 &amp; " - "&amp; 'User input'!D8)</f>
        <v>Agrochemical Costs    ---&gt;    Blueberry Field #1 - November 19, 2021</v>
      </c>
      <c r="C3" s="386"/>
      <c r="D3" s="386"/>
      <c r="E3" s="386"/>
      <c r="F3" s="386"/>
      <c r="G3" s="386"/>
      <c r="H3" s="387"/>
      <c r="I3" s="192"/>
      <c r="J3" s="193"/>
      <c r="K3" s="9" t="s">
        <v>36</v>
      </c>
      <c r="L3" s="5"/>
      <c r="M3" s="378" t="s">
        <v>50</v>
      </c>
      <c r="N3" s="379"/>
      <c r="O3" s="379"/>
      <c r="P3" s="379"/>
      <c r="Q3" s="379"/>
      <c r="R3" s="379"/>
      <c r="S3" s="380"/>
      <c r="T3" s="118"/>
      <c r="U3" s="378" t="s">
        <v>161</v>
      </c>
      <c r="V3" s="379"/>
      <c r="W3" s="380"/>
      <c r="X3" s="118"/>
      <c r="Y3" s="378" t="s">
        <v>51</v>
      </c>
      <c r="Z3" s="379"/>
      <c r="AA3" s="379"/>
      <c r="AB3" s="379"/>
      <c r="AC3" s="379"/>
      <c r="AD3" s="380"/>
      <c r="AE3" s="118"/>
      <c r="AF3" s="378" t="s">
        <v>168</v>
      </c>
      <c r="AG3" s="379"/>
      <c r="AH3" s="380"/>
      <c r="AI3" s="118"/>
      <c r="AJ3" s="362" t="s">
        <v>163</v>
      </c>
      <c r="AK3" s="376"/>
      <c r="AL3" s="377"/>
      <c r="AM3" s="118"/>
      <c r="AN3" s="373" t="s">
        <v>132</v>
      </c>
      <c r="AO3" s="375"/>
      <c r="AP3" s="118"/>
      <c r="AQ3" s="118"/>
      <c r="AR3" s="118"/>
      <c r="AS3" s="118"/>
      <c r="AT3" s="118"/>
      <c r="AU3" s="118"/>
      <c r="AV3" s="118"/>
      <c r="AW3" s="118"/>
      <c r="AX3" s="118"/>
      <c r="AY3" s="118"/>
      <c r="AZ3" s="118"/>
      <c r="BA3" s="118"/>
      <c r="BB3" s="118"/>
      <c r="BC3" s="118"/>
      <c r="BD3" s="381" t="str">
        <f>("Summary of Field Input Costs    ---&gt;    "&amp;'User input'!D7 &amp; " - "&amp; 'User input'!D8)</f>
        <v>Summary of Field Input Costs    ---&gt;    Blueberry Field #1 - November 19, 2021</v>
      </c>
      <c r="BE3" s="382"/>
      <c r="BF3" s="382"/>
      <c r="BG3" s="382"/>
      <c r="BH3" s="382"/>
      <c r="BI3" s="382"/>
      <c r="BJ3" s="382"/>
      <c r="BK3" s="382"/>
      <c r="BL3" s="383"/>
      <c r="BM3" s="5"/>
      <c r="BN3" s="5"/>
      <c r="BO3" s="5"/>
      <c r="BP3" s="5"/>
      <c r="BQ3" s="5"/>
    </row>
    <row r="4" spans="1:69" ht="15" thickTop="1" thickBot="1" x14ac:dyDescent="0.55000000000000004">
      <c r="A4" s="5"/>
      <c r="B4" s="101" t="s">
        <v>5</v>
      </c>
      <c r="C4" s="266" t="s">
        <v>262</v>
      </c>
      <c r="D4" s="102"/>
      <c r="E4" s="102" t="s">
        <v>1</v>
      </c>
      <c r="F4" s="102"/>
      <c r="G4" s="102" t="s">
        <v>27</v>
      </c>
      <c r="H4" s="102"/>
      <c r="I4" s="194" t="s">
        <v>77</v>
      </c>
      <c r="J4" s="194" t="s">
        <v>78</v>
      </c>
      <c r="K4" s="103"/>
      <c r="L4" s="5"/>
      <c r="M4" s="119" t="s">
        <v>177</v>
      </c>
      <c r="N4" s="120" t="s">
        <v>27</v>
      </c>
      <c r="O4" s="120"/>
      <c r="P4" s="120" t="s">
        <v>27</v>
      </c>
      <c r="Q4" s="103"/>
      <c r="R4" s="118"/>
      <c r="S4" s="118"/>
      <c r="T4" s="118"/>
      <c r="U4" s="121" t="str">
        <f>"No hives → $"&amp;V4</f>
        <v>No hives → $0</v>
      </c>
      <c r="V4" s="100">
        <f>0</f>
        <v>0</v>
      </c>
      <c r="W4" s="128" t="s">
        <v>9</v>
      </c>
      <c r="X4" s="118"/>
      <c r="Y4" s="101" t="s">
        <v>32</v>
      </c>
      <c r="Z4" s="102" t="s">
        <v>27</v>
      </c>
      <c r="AA4" s="138"/>
      <c r="AB4" s="118"/>
      <c r="AC4" s="118"/>
      <c r="AD4" s="118"/>
      <c r="AE4" s="118"/>
      <c r="AF4" s="119" t="s">
        <v>181</v>
      </c>
      <c r="AG4" s="120" t="s">
        <v>27</v>
      </c>
      <c r="AH4" s="139"/>
      <c r="AI4" s="118"/>
      <c r="AJ4" s="252" t="s">
        <v>187</v>
      </c>
      <c r="AK4" s="273">
        <f>'User input'!D14</f>
        <v>0.01</v>
      </c>
      <c r="AL4" s="251" t="s">
        <v>10</v>
      </c>
      <c r="AM4" s="118"/>
      <c r="AN4" s="217" t="str">
        <f>'User input'!S7</f>
        <v>BB producers dues</v>
      </c>
      <c r="AO4" s="218">
        <f>BI4</f>
        <v>650</v>
      </c>
      <c r="AP4" s="118"/>
      <c r="AQ4" s="118"/>
      <c r="AR4" s="118"/>
      <c r="AS4" s="118"/>
      <c r="AT4" s="118"/>
      <c r="AU4" s="118"/>
      <c r="AV4" s="118"/>
      <c r="AW4" s="118"/>
      <c r="AX4" s="118"/>
      <c r="AY4" s="118"/>
      <c r="AZ4" s="118"/>
      <c r="BA4" s="118"/>
      <c r="BB4" s="118"/>
      <c r="BC4" s="118"/>
      <c r="BD4" s="83" t="str">
        <f>AJ4</f>
        <v>BB producers dues</v>
      </c>
      <c r="BE4" s="140">
        <f>BI4/'User input'!D9</f>
        <v>65</v>
      </c>
      <c r="BF4" s="141" t="s">
        <v>9</v>
      </c>
      <c r="BG4" s="142">
        <f>BI4/'User input'!$W$13</f>
        <v>0.01</v>
      </c>
      <c r="BH4" s="141" t="s">
        <v>10</v>
      </c>
      <c r="BI4" s="140">
        <f>'User input'!D14*'User input'!W13</f>
        <v>650</v>
      </c>
      <c r="BJ4" s="141" t="s">
        <v>11</v>
      </c>
      <c r="BK4" s="143">
        <f>(BI4/$BI$25)*100</f>
        <v>4.3918918918918921</v>
      </c>
      <c r="BL4" s="144" t="s">
        <v>16</v>
      </c>
      <c r="BM4" s="5"/>
      <c r="BN4" s="5"/>
      <c r="BO4" s="5"/>
      <c r="BP4" s="5"/>
      <c r="BQ4" s="5"/>
    </row>
    <row r="5" spans="1:69" ht="15" thickTop="1" thickBot="1" x14ac:dyDescent="0.55000000000000004">
      <c r="A5" s="5"/>
      <c r="B5" s="224" t="s">
        <v>188</v>
      </c>
      <c r="C5" s="100">
        <v>0.93</v>
      </c>
      <c r="D5" s="275" t="s">
        <v>189</v>
      </c>
      <c r="E5" s="204">
        <v>90.72</v>
      </c>
      <c r="F5" s="275" t="s">
        <v>190</v>
      </c>
      <c r="G5" s="105">
        <f t="shared" ref="G5:G14" si="0">C5*E5</f>
        <v>84.369600000000005</v>
      </c>
      <c r="H5" s="106" t="s">
        <v>9</v>
      </c>
      <c r="I5" s="191" t="str">
        <f>IF('User input'!G7=$B$94,"No", IF('User input'!G7=$B$95,"Yes", IF('User input'!G7=$B$96,"Yes", IF('User input'!G7=$B$97,"Yes", IF('User input'!G7=$B$98,"Yes", IF('User input'!G7=$B$99,"Yes"))))))</f>
        <v>No</v>
      </c>
      <c r="J5" s="191" t="str">
        <f>IF('User input'!G7=$B$94,"No", IF('User input'!G7=$B$95,"No", IF('User input'!G7=$B$96,"No", IF('User input'!G7=$B$97,"Yes", IF('User input'!G7=$B$98,"Yes", IF('User input'!G7=$B$99,"Yes"))))))</f>
        <v>No</v>
      </c>
      <c r="K5" s="107">
        <f>IF('User input'!G7=$B$94,0, IF('User input'!G7=$B$95,G5, IF('User input'!G7=$B$96,G5+$P$23, IF('User input'!G7=$B$97,G5+G5, IF('User input'!G7=$B$98,G5+$P$23+G5, IF('User input'!G7=$B$99,G5+$P$23+G5+$P$23))))))</f>
        <v>0</v>
      </c>
      <c r="L5" s="5"/>
      <c r="M5" s="121" t="str">
        <f>"Contractor → $"&amp;N5</f>
        <v>Contractor → $25</v>
      </c>
      <c r="N5" s="100">
        <v>25</v>
      </c>
      <c r="O5" s="106" t="s">
        <v>9</v>
      </c>
      <c r="P5" s="122">
        <f>(VLOOKUP('User input'!D27,M5:N11,2,FALSE))*1</f>
        <v>25</v>
      </c>
      <c r="Q5" s="123" t="s">
        <v>9</v>
      </c>
      <c r="R5" s="118"/>
      <c r="S5" s="118"/>
      <c r="T5" s="118"/>
      <c r="U5" s="121" t="str">
        <f>"0.5 hive/acre → $"&amp;V5</f>
        <v>0.5 hive/acre → $75</v>
      </c>
      <c r="V5" s="200">
        <f>V6/2</f>
        <v>75</v>
      </c>
      <c r="W5" s="128" t="s">
        <v>9</v>
      </c>
      <c r="X5" s="118"/>
      <c r="Y5" s="121" t="s">
        <v>33</v>
      </c>
      <c r="Z5" s="96">
        <f>VLOOKUP('User input'!D32,Y9:Z21,2,FALSE)</f>
        <v>0.11</v>
      </c>
      <c r="AA5" s="128" t="s">
        <v>10</v>
      </c>
      <c r="AB5" s="118"/>
      <c r="AC5" s="118"/>
      <c r="AD5" s="118"/>
      <c r="AE5" s="118"/>
      <c r="AF5" s="121" t="str">
        <f>"Contractor → $"&amp;AG5</f>
        <v>Contractor → $70</v>
      </c>
      <c r="AG5" s="200">
        <f>VLOOKUP('User input'!D34,'Price list'!AF24:AH30,2,FALSE)</f>
        <v>70</v>
      </c>
      <c r="AH5" s="128" t="s">
        <v>9</v>
      </c>
      <c r="AI5" s="118"/>
      <c r="AJ5" s="118"/>
      <c r="AK5" s="118"/>
      <c r="AL5" s="118"/>
      <c r="AM5" s="118"/>
      <c r="AN5" s="219" t="str">
        <f>'User input'!S8</f>
        <v>Crop insurance</v>
      </c>
      <c r="AO5" s="220">
        <f t="shared" ref="AO5" si="1">BI5</f>
        <v>0</v>
      </c>
      <c r="AP5" s="118"/>
      <c r="AQ5" s="118"/>
      <c r="AR5" s="118"/>
      <c r="AS5" s="118"/>
      <c r="AT5" s="118"/>
      <c r="AU5" s="118"/>
      <c r="AV5" s="118"/>
      <c r="AW5" s="118"/>
      <c r="AX5" s="118"/>
      <c r="AY5" s="118"/>
      <c r="AZ5" s="118"/>
      <c r="BA5" s="118"/>
      <c r="BB5" s="118"/>
      <c r="BC5" s="118"/>
      <c r="BD5" s="85" t="s">
        <v>65</v>
      </c>
      <c r="BE5" s="96">
        <f>BI5/'User input'!D9</f>
        <v>0</v>
      </c>
      <c r="BF5" s="145" t="s">
        <v>9</v>
      </c>
      <c r="BG5" s="146">
        <f>BI5/'User input'!$W$13</f>
        <v>0</v>
      </c>
      <c r="BH5" s="145" t="s">
        <v>10</v>
      </c>
      <c r="BI5" s="96">
        <f>'User input'!D15</f>
        <v>0</v>
      </c>
      <c r="BJ5" s="145" t="s">
        <v>11</v>
      </c>
      <c r="BK5" s="147">
        <f>(BI5/$BI$25)*100</f>
        <v>0</v>
      </c>
      <c r="BL5" s="94" t="s">
        <v>16</v>
      </c>
      <c r="BM5" s="5"/>
      <c r="BN5" s="5"/>
      <c r="BO5" s="5"/>
      <c r="BP5" s="5"/>
      <c r="BQ5" s="5"/>
    </row>
    <row r="6" spans="1:69" ht="15" thickTop="1" thickBot="1" x14ac:dyDescent="0.55000000000000004">
      <c r="A6" s="5"/>
      <c r="B6" s="224" t="s">
        <v>191</v>
      </c>
      <c r="C6" s="100">
        <v>0.88</v>
      </c>
      <c r="D6" s="275" t="s">
        <v>189</v>
      </c>
      <c r="E6" s="204">
        <v>90.72</v>
      </c>
      <c r="F6" s="275" t="s">
        <v>190</v>
      </c>
      <c r="G6" s="105">
        <f t="shared" si="0"/>
        <v>79.833600000000004</v>
      </c>
      <c r="H6" s="106" t="s">
        <v>9</v>
      </c>
      <c r="I6" s="191" t="str">
        <f>IF('User input'!G8=$B$94,"No", IF('User input'!G8=$B$95,"Yes", IF('User input'!G8=$B$96,"Yes", IF('User input'!G8=$B$97,"Yes", IF('User input'!G8=$B$98,"Yes", IF('User input'!G8=$B$99,"Yes"))))))</f>
        <v>No</v>
      </c>
      <c r="J6" s="191" t="str">
        <f>IF('User input'!G8=$B$94,"No", IF('User input'!G8=$B$95,"No", IF('User input'!G8=$B$96,"No", IF('User input'!G8=$B$97,"Yes", IF('User input'!G8=$B$98,"Yes", IF('User input'!G8=$B$99,"Yes"))))))</f>
        <v>No</v>
      </c>
      <c r="K6" s="107">
        <f>IF('User input'!G8=$B$94,0, IF('User input'!G8=$B$95,G6, IF('User input'!G8=$B$96,G6+$P$23, IF('User input'!G8=$B$97,G6+G6, IF('User input'!G8=$B$98,G6+$P$23+G6, IF('User input'!G8=$B$99,G6+$P$23+G6+$P$23))))))</f>
        <v>0</v>
      </c>
      <c r="L6" s="5"/>
      <c r="M6" s="124" t="str">
        <f t="shared" ref="M6:M11" si="2">"Farm → $"&amp;N6</f>
        <v>Farm → $15</v>
      </c>
      <c r="N6" s="205">
        <v>15</v>
      </c>
      <c r="O6" s="125" t="s">
        <v>9</v>
      </c>
      <c r="P6" s="112"/>
      <c r="Q6" s="112"/>
      <c r="R6" s="118"/>
      <c r="S6" s="118"/>
      <c r="T6" s="118"/>
      <c r="U6" s="121" t="str">
        <f>"1 hive/acre → $"&amp;V6</f>
        <v>1 hive/acre → $150</v>
      </c>
      <c r="V6" s="100">
        <v>150</v>
      </c>
      <c r="W6" s="128" t="s">
        <v>9</v>
      </c>
      <c r="X6" s="118"/>
      <c r="Y6" s="127" t="s">
        <v>29</v>
      </c>
      <c r="Z6" s="109">
        <v>0.14000000000000001</v>
      </c>
      <c r="AA6" s="123" t="s">
        <v>10</v>
      </c>
      <c r="AB6" s="118"/>
      <c r="AC6" s="118"/>
      <c r="AD6" s="118"/>
      <c r="AE6" s="118"/>
      <c r="AF6" s="124" t="str">
        <f t="shared" ref="AF6:AF21" si="3">"Farm → $"&amp;AG6</f>
        <v>Farm → $0</v>
      </c>
      <c r="AG6" s="205">
        <v>0</v>
      </c>
      <c r="AH6" s="128" t="s">
        <v>9</v>
      </c>
      <c r="AI6" s="118"/>
      <c r="AJ6" s="118"/>
      <c r="AK6" s="118"/>
      <c r="AL6" s="118"/>
      <c r="AM6" s="118"/>
      <c r="AN6" s="219" t="str">
        <f>'User input'!S12</f>
        <v>Land cost</v>
      </c>
      <c r="AO6" s="220">
        <f t="shared" ref="AO6:AO21" si="4">BI9</f>
        <v>0</v>
      </c>
      <c r="AP6" s="118"/>
      <c r="AQ6" s="118"/>
      <c r="AR6" s="118"/>
      <c r="AS6" s="118"/>
      <c r="AT6" s="118"/>
      <c r="AU6" s="118"/>
      <c r="AV6" s="118"/>
      <c r="AW6" s="118"/>
      <c r="AX6" s="118"/>
      <c r="AY6" s="118"/>
      <c r="AZ6" s="118"/>
      <c r="BA6" s="118"/>
      <c r="BB6" s="118"/>
      <c r="BC6" s="118"/>
      <c r="BD6" s="85" t="s">
        <v>226</v>
      </c>
      <c r="BE6" s="96">
        <f>BI6/'User input'!D9</f>
        <v>0</v>
      </c>
      <c r="BF6" s="145" t="s">
        <v>9</v>
      </c>
      <c r="BG6" s="146">
        <f>BI6/'User input'!$W$13</f>
        <v>0</v>
      </c>
      <c r="BH6" s="145" t="s">
        <v>10</v>
      </c>
      <c r="BI6" s="96">
        <f>'User input'!D16</f>
        <v>0</v>
      </c>
      <c r="BJ6" s="145" t="s">
        <v>11</v>
      </c>
      <c r="BK6" s="147">
        <f t="shared" ref="BK6:BK8" si="5">(BI6/$BI$25)*100</f>
        <v>0</v>
      </c>
      <c r="BL6" s="94" t="s">
        <v>16</v>
      </c>
      <c r="BM6" s="5"/>
      <c r="BN6" s="5"/>
      <c r="BO6" s="5"/>
      <c r="BP6" s="5"/>
      <c r="BQ6" s="5"/>
    </row>
    <row r="7" spans="1:69" ht="15" thickTop="1" thickBot="1" x14ac:dyDescent="0.55000000000000004">
      <c r="A7" s="5"/>
      <c r="B7" s="224" t="s">
        <v>192</v>
      </c>
      <c r="C7" s="100">
        <v>0.87</v>
      </c>
      <c r="D7" s="275" t="s">
        <v>189</v>
      </c>
      <c r="E7" s="204">
        <v>68.040000000000006</v>
      </c>
      <c r="F7" s="275" t="s">
        <v>190</v>
      </c>
      <c r="G7" s="105">
        <f t="shared" si="0"/>
        <v>59.194800000000008</v>
      </c>
      <c r="H7" s="106" t="s">
        <v>9</v>
      </c>
      <c r="I7" s="191" t="str">
        <f>IF('User input'!G9=$B$94,"No", IF('User input'!G9=$B$95,"Yes", IF('User input'!G9=$B$96,"Yes", IF('User input'!G9=$B$97,"Yes", IF('User input'!G9=$B$98,"Yes", IF('User input'!G9=$B$99,"Yes"))))))</f>
        <v>No</v>
      </c>
      <c r="J7" s="191" t="str">
        <f>IF('User input'!G9=$B$94,"No", IF('User input'!G9=$B$95,"No", IF('User input'!G9=$B$96,"No", IF('User input'!G9=$B$97,"Yes", IF('User input'!G9=$B$98,"Yes", IF('User input'!G9=$B$99,"Yes"))))))</f>
        <v>No</v>
      </c>
      <c r="K7" s="107">
        <f>IF('User input'!G9=$B$94,0, IF('User input'!G9=$B$95,G7, IF('User input'!G9=$B$96,G7+$P$23, IF('User input'!G9=$B$97,G7+G7, IF('User input'!G9=$B$98,G7+$P$23+G7, IF('User input'!G9=$B$99,G7+$P$23+G7+$P$23))))))</f>
        <v>0</v>
      </c>
      <c r="L7" s="5"/>
      <c r="M7" s="126" t="str">
        <f t="shared" si="2"/>
        <v>Farm → $20</v>
      </c>
      <c r="N7" s="205">
        <v>20</v>
      </c>
      <c r="O7" s="125" t="s">
        <v>9</v>
      </c>
      <c r="P7" s="112"/>
      <c r="Q7" s="112"/>
      <c r="R7" s="118"/>
      <c r="S7" s="118"/>
      <c r="T7" s="118"/>
      <c r="U7" s="121" t="str">
        <f>"1.5 hive/acre → $"&amp;V7</f>
        <v>1.5 hive/acre → $225</v>
      </c>
      <c r="V7" s="200">
        <f>V6*1.5</f>
        <v>225</v>
      </c>
      <c r="W7" s="128" t="s">
        <v>9</v>
      </c>
      <c r="X7" s="118"/>
      <c r="Y7" s="118"/>
      <c r="Z7" s="118"/>
      <c r="AA7" s="118"/>
      <c r="AB7" s="118"/>
      <c r="AC7" s="118"/>
      <c r="AD7" s="118"/>
      <c r="AE7" s="118"/>
      <c r="AF7" s="126" t="str">
        <f t="shared" si="3"/>
        <v>Farm → $10</v>
      </c>
      <c r="AG7" s="268">
        <v>10</v>
      </c>
      <c r="AH7" s="128" t="s">
        <v>9</v>
      </c>
      <c r="AI7" s="118"/>
      <c r="AJ7" s="118"/>
      <c r="AK7" s="118"/>
      <c r="AL7" s="118"/>
      <c r="AM7" s="118"/>
      <c r="AN7" s="219" t="str">
        <f>'User input'!S13</f>
        <v>Soil samples</v>
      </c>
      <c r="AO7" s="220">
        <f t="shared" si="4"/>
        <v>0</v>
      </c>
      <c r="AP7" s="118"/>
      <c r="AQ7" s="118"/>
      <c r="AR7" s="118"/>
      <c r="AS7" s="118"/>
      <c r="AT7" s="118"/>
      <c r="AU7" s="118"/>
      <c r="AV7" s="118"/>
      <c r="AW7" s="118"/>
      <c r="AX7" s="118"/>
      <c r="AY7" s="118"/>
      <c r="AZ7" s="118"/>
      <c r="BA7" s="118"/>
      <c r="BB7" s="118"/>
      <c r="BC7" s="118"/>
      <c r="BD7" s="85" t="s">
        <v>230</v>
      </c>
      <c r="BE7" s="96">
        <f>BI7/'User input'!D9</f>
        <v>0</v>
      </c>
      <c r="BF7" s="145" t="s">
        <v>9</v>
      </c>
      <c r="BG7" s="146">
        <f>BI7/'User input'!$W$13</f>
        <v>0</v>
      </c>
      <c r="BH7" s="145" t="s">
        <v>10</v>
      </c>
      <c r="BI7" s="96">
        <f>'User input'!D17</f>
        <v>0</v>
      </c>
      <c r="BJ7" s="145" t="s">
        <v>11</v>
      </c>
      <c r="BK7" s="147">
        <f t="shared" si="5"/>
        <v>0</v>
      </c>
      <c r="BL7" s="94" t="s">
        <v>16</v>
      </c>
      <c r="BM7" s="5"/>
      <c r="BN7" s="5"/>
      <c r="BO7" s="5"/>
      <c r="BP7" s="5"/>
      <c r="BQ7" s="5"/>
    </row>
    <row r="8" spans="1:69" ht="14.7" thickTop="1" x14ac:dyDescent="0.5">
      <c r="A8" s="5"/>
      <c r="B8" s="224" t="s">
        <v>193</v>
      </c>
      <c r="C8" s="100">
        <v>0.87</v>
      </c>
      <c r="D8" s="275" t="s">
        <v>189</v>
      </c>
      <c r="E8" s="204">
        <v>68.040000000000006</v>
      </c>
      <c r="F8" s="275" t="s">
        <v>190</v>
      </c>
      <c r="G8" s="105">
        <f t="shared" si="0"/>
        <v>59.194800000000008</v>
      </c>
      <c r="H8" s="106" t="s">
        <v>9</v>
      </c>
      <c r="I8" s="191" t="str">
        <f>IF('User input'!G10=$B$94,"No", IF('User input'!G10=$B$95,"Yes", IF('User input'!G10=$B$96,"Yes", IF('User input'!G10=$B$97,"Yes", IF('User input'!G10=$B$98,"Yes", IF('User input'!G10=$B$99,"Yes"))))))</f>
        <v>No</v>
      </c>
      <c r="J8" s="191" t="str">
        <f>IF('User input'!G10=$B$94,"No", IF('User input'!G10=$B$95,"No", IF('User input'!G10=$B$96,"No", IF('User input'!G10=$B$97,"Yes", IF('User input'!G10=$B$98,"Yes", IF('User input'!G10=$B$99,"Yes"))))))</f>
        <v>No</v>
      </c>
      <c r="K8" s="107">
        <f>IF('User input'!G10=$B$94,0, IF('User input'!G10=$B$95,G8, IF('User input'!G10=$B$96,G8+$P$23, IF('User input'!G10=$B$97,G8+G8, IF('User input'!G10=$B$98,G8+$P$23+G8, IF('User input'!G10=$B$99,G8+$P$23+G8+$P$23))))))</f>
        <v>0</v>
      </c>
      <c r="L8" s="5"/>
      <c r="M8" s="121" t="str">
        <f t="shared" si="2"/>
        <v>Farm → $25</v>
      </c>
      <c r="N8" s="205">
        <v>25</v>
      </c>
      <c r="O8" s="125" t="s">
        <v>9</v>
      </c>
      <c r="P8" s="112"/>
      <c r="Q8" s="112"/>
      <c r="R8" s="118"/>
      <c r="S8" s="118"/>
      <c r="T8" s="118"/>
      <c r="U8" s="121" t="str">
        <f>"2 hive/acre → $"&amp;V8</f>
        <v>2 hive/acre → $300</v>
      </c>
      <c r="V8" s="200">
        <f>V6*2</f>
        <v>300</v>
      </c>
      <c r="W8" s="128" t="s">
        <v>9</v>
      </c>
      <c r="X8" s="118"/>
      <c r="Y8" s="101" t="s">
        <v>179</v>
      </c>
      <c r="Z8" s="148" t="s">
        <v>27</v>
      </c>
      <c r="AA8" s="134"/>
      <c r="AB8" s="118"/>
      <c r="AC8" s="118"/>
      <c r="AD8" s="118"/>
      <c r="AE8" s="118"/>
      <c r="AF8" s="126" t="str">
        <f t="shared" si="3"/>
        <v>Farm → $20</v>
      </c>
      <c r="AG8" s="268">
        <v>20</v>
      </c>
      <c r="AH8" s="128" t="s">
        <v>9</v>
      </c>
      <c r="AI8" s="118"/>
      <c r="AJ8" s="118"/>
      <c r="AK8" s="118"/>
      <c r="AL8" s="118"/>
      <c r="AM8" s="118"/>
      <c r="AN8" s="219" t="str">
        <f>'User input'!S14</f>
        <v>Tissue samples</v>
      </c>
      <c r="AO8" s="220">
        <f t="shared" si="4"/>
        <v>0</v>
      </c>
      <c r="AP8" s="118"/>
      <c r="AQ8" s="118"/>
      <c r="AR8" s="118"/>
      <c r="AS8" s="118"/>
      <c r="AT8" s="118"/>
      <c r="AU8" s="118"/>
      <c r="AV8" s="118"/>
      <c r="AW8" s="118"/>
      <c r="AX8" s="118"/>
      <c r="AY8" s="118"/>
      <c r="AZ8" s="118"/>
      <c r="BA8" s="118"/>
      <c r="BB8" s="118"/>
      <c r="BC8" s="118"/>
      <c r="BD8" s="85" t="s">
        <v>225</v>
      </c>
      <c r="BE8" s="96">
        <f>BI8/'User input'!D9</f>
        <v>0</v>
      </c>
      <c r="BF8" s="145" t="s">
        <v>9</v>
      </c>
      <c r="BG8" s="146">
        <f>BI8/'User input'!$W$13</f>
        <v>0</v>
      </c>
      <c r="BH8" s="145" t="s">
        <v>10</v>
      </c>
      <c r="BI8" s="96">
        <f>'User input'!D18</f>
        <v>0</v>
      </c>
      <c r="BJ8" s="145" t="s">
        <v>11</v>
      </c>
      <c r="BK8" s="147">
        <f t="shared" si="5"/>
        <v>0</v>
      </c>
      <c r="BL8" s="94" t="s">
        <v>16</v>
      </c>
      <c r="BM8" s="5"/>
      <c r="BN8" s="5"/>
      <c r="BO8" s="5"/>
      <c r="BP8" s="5"/>
      <c r="BQ8" s="5"/>
    </row>
    <row r="9" spans="1:69" x14ac:dyDescent="0.5">
      <c r="A9" s="5"/>
      <c r="B9" s="224" t="s">
        <v>194</v>
      </c>
      <c r="C9" s="100">
        <v>10</v>
      </c>
      <c r="D9" s="275" t="s">
        <v>195</v>
      </c>
      <c r="E9" s="204">
        <v>2</v>
      </c>
      <c r="F9" s="275" t="s">
        <v>196</v>
      </c>
      <c r="G9" s="105">
        <f t="shared" si="0"/>
        <v>20</v>
      </c>
      <c r="H9" s="106" t="s">
        <v>9</v>
      </c>
      <c r="I9" s="191" t="str">
        <f>IF('User input'!G11=$B$94,"No", IF('User input'!G11=$B$95,"Yes", IF('User input'!G11=$B$96,"Yes", IF('User input'!G11=$B$97,"Yes", IF('User input'!G11=$B$98,"Yes", IF('User input'!G11=$B$99,"Yes"))))))</f>
        <v>No</v>
      </c>
      <c r="J9" s="191" t="str">
        <f>IF('User input'!G11=$B$94,"No", IF('User input'!G11=$B$95,"No", IF('User input'!G11=$B$96,"No", IF('User input'!G11=$B$97,"Yes", IF('User input'!G11=$B$98,"Yes", IF('User input'!G11=$B$99,"Yes"))))))</f>
        <v>No</v>
      </c>
      <c r="K9" s="107">
        <f>IF('User input'!G11=$B$94,0, IF('User input'!G11=$B$95,G9, IF('User input'!G11=$B$96,G9+$P$5, IF('User input'!G11=$B$97,G9+G9, IF('User input'!G11=$B$98,G9+$P$5+G9, IF('User input'!G11=$B$99,G9+$P$5+G9+$P$5))))))</f>
        <v>0</v>
      </c>
      <c r="L9" s="5"/>
      <c r="M9" s="121" t="str">
        <f t="shared" si="2"/>
        <v>Farm → $30</v>
      </c>
      <c r="N9" s="205">
        <v>30</v>
      </c>
      <c r="O9" s="125" t="s">
        <v>9</v>
      </c>
      <c r="P9" s="112"/>
      <c r="Q9" s="112"/>
      <c r="R9" s="118"/>
      <c r="S9" s="118"/>
      <c r="T9" s="118"/>
      <c r="U9" s="121" t="str">
        <f>"2.5 hive/acre → $"&amp;V9</f>
        <v>2.5 hive/acre → $375</v>
      </c>
      <c r="V9" s="200">
        <f>V6*2.5</f>
        <v>375</v>
      </c>
      <c r="W9" s="128" t="s">
        <v>9</v>
      </c>
      <c r="X9" s="118"/>
      <c r="Y9" s="121" t="str">
        <f>"Contractor → $"&amp;Z9</f>
        <v>Contractor → $0.11</v>
      </c>
      <c r="Z9" s="149">
        <f>AC24</f>
        <v>0.11</v>
      </c>
      <c r="AA9" s="131" t="s">
        <v>10</v>
      </c>
      <c r="AB9" s="118"/>
      <c r="AC9" s="118"/>
      <c r="AD9" s="118"/>
      <c r="AE9" s="118"/>
      <c r="AF9" s="126" t="str">
        <f t="shared" si="3"/>
        <v>Farm → $30</v>
      </c>
      <c r="AG9" s="268">
        <v>30</v>
      </c>
      <c r="AH9" s="128" t="s">
        <v>9</v>
      </c>
      <c r="AI9" s="118"/>
      <c r="AJ9" s="118"/>
      <c r="AK9" s="118"/>
      <c r="AL9" s="118"/>
      <c r="AM9" s="118"/>
      <c r="AN9" s="219" t="str">
        <f>'User input'!S15</f>
        <v>Insect monitoring</v>
      </c>
      <c r="AO9" s="220">
        <f t="shared" si="4"/>
        <v>0</v>
      </c>
      <c r="AP9" s="118"/>
      <c r="AQ9" s="118"/>
      <c r="AR9" s="118"/>
      <c r="AS9" s="118"/>
      <c r="AT9" s="118"/>
      <c r="AU9" s="118"/>
      <c r="AV9" s="118"/>
      <c r="AW9" s="118"/>
      <c r="AX9" s="118"/>
      <c r="AY9" s="118"/>
      <c r="AZ9" s="118"/>
      <c r="BA9" s="118"/>
      <c r="BB9" s="118"/>
      <c r="BC9" s="118"/>
      <c r="BD9" s="216" t="s">
        <v>156</v>
      </c>
      <c r="BE9" s="96">
        <f t="shared" ref="BE9:BE16" si="6">BI9/start</f>
        <v>0</v>
      </c>
      <c r="BF9" s="145" t="s">
        <v>9</v>
      </c>
      <c r="BG9" s="146">
        <f>BI9/'User input'!$W$13</f>
        <v>0</v>
      </c>
      <c r="BH9" s="145" t="s">
        <v>10</v>
      </c>
      <c r="BI9" s="96">
        <f>'User input'!D19*2</f>
        <v>0</v>
      </c>
      <c r="BJ9" s="145" t="s">
        <v>11</v>
      </c>
      <c r="BK9" s="147">
        <f t="shared" ref="BK9:BK24" si="7">(BI9/$BI$25)*100</f>
        <v>0</v>
      </c>
      <c r="BL9" s="94" t="s">
        <v>16</v>
      </c>
      <c r="BM9" s="5"/>
      <c r="BN9" s="5"/>
      <c r="BO9" s="5"/>
      <c r="BP9" s="5"/>
      <c r="BQ9" s="5"/>
    </row>
    <row r="10" spans="1:69" x14ac:dyDescent="0.5">
      <c r="A10" s="5"/>
      <c r="B10" s="224" t="s">
        <v>197</v>
      </c>
      <c r="C10" s="100">
        <v>10</v>
      </c>
      <c r="D10" s="275" t="s">
        <v>195</v>
      </c>
      <c r="E10" s="204">
        <v>2</v>
      </c>
      <c r="F10" s="275" t="s">
        <v>196</v>
      </c>
      <c r="G10" s="105">
        <f t="shared" si="0"/>
        <v>20</v>
      </c>
      <c r="H10" s="106" t="s">
        <v>9</v>
      </c>
      <c r="I10" s="191" t="str">
        <f>IF('User input'!G12=$B$94,"No", IF('User input'!G12=$B$95,"Yes", IF('User input'!G12=$B$96,"Yes", IF('User input'!G12=$B$97,"Yes", IF('User input'!G12=$B$98,"Yes", IF('User input'!G12=$B$99,"Yes"))))))</f>
        <v>No</v>
      </c>
      <c r="J10" s="191" t="str">
        <f>IF('User input'!G12=$B$94,"No", IF('User input'!G12=$B$95,"No", IF('User input'!G12=$B$96,"No", IF('User input'!G12=$B$97,"Yes", IF('User input'!G12=$B$98,"Yes", IF('User input'!G12=$B$99,"Yes"))))))</f>
        <v>No</v>
      </c>
      <c r="K10" s="107">
        <f>IF('User input'!G12=$B$94,0, IF('User input'!G12=$B$95,G10, IF('User input'!G12=$B$96,G10+$P$5, IF('User input'!G12=$B$97,G10+G10, IF('User input'!G12=$B$98,G10+$P$5+G10, IF('User input'!G12=$B$99,G10+$P$5+G10+$P$5))))))</f>
        <v>0</v>
      </c>
      <c r="L10" s="5"/>
      <c r="M10" s="121" t="str">
        <f t="shared" si="2"/>
        <v>Farm → $35</v>
      </c>
      <c r="N10" s="205">
        <v>35</v>
      </c>
      <c r="O10" s="125" t="s">
        <v>9</v>
      </c>
      <c r="P10" s="112"/>
      <c r="Q10" s="112"/>
      <c r="R10" s="118"/>
      <c r="S10" s="118"/>
      <c r="T10" s="118"/>
      <c r="U10" s="121" t="str">
        <f>"3 hive/acre → $"&amp;V10</f>
        <v>3 hive/acre → $450</v>
      </c>
      <c r="V10" s="200">
        <f>V6*3</f>
        <v>450</v>
      </c>
      <c r="W10" s="128" t="s">
        <v>9</v>
      </c>
      <c r="X10" s="118"/>
      <c r="Y10" s="124" t="str">
        <f t="shared" ref="Y10:Y21" si="8">"Farm → $"&amp;Z10</f>
        <v>Farm → $0.07</v>
      </c>
      <c r="Z10" s="270">
        <v>7.0000000000000007E-2</v>
      </c>
      <c r="AA10" s="131" t="s">
        <v>10</v>
      </c>
      <c r="AB10" s="118"/>
      <c r="AC10" s="118"/>
      <c r="AD10" s="118"/>
      <c r="AE10" s="118"/>
      <c r="AF10" s="126" t="str">
        <f t="shared" si="3"/>
        <v>Farm → $40</v>
      </c>
      <c r="AG10" s="268">
        <v>40</v>
      </c>
      <c r="AH10" s="128" t="s">
        <v>9</v>
      </c>
      <c r="AI10" s="118"/>
      <c r="AJ10" s="118"/>
      <c r="AK10" s="118"/>
      <c r="AL10" s="118"/>
      <c r="AM10" s="118"/>
      <c r="AN10" s="219" t="str">
        <f>'User input'!S16</f>
        <v>Field scouting</v>
      </c>
      <c r="AO10" s="220">
        <f t="shared" si="4"/>
        <v>0</v>
      </c>
      <c r="AP10" s="118"/>
      <c r="AQ10" s="118"/>
      <c r="AR10" s="118"/>
      <c r="AS10" s="118"/>
      <c r="AT10" s="118"/>
      <c r="AU10" s="118"/>
      <c r="AV10" s="118"/>
      <c r="AW10" s="118"/>
      <c r="AX10" s="118"/>
      <c r="AY10" s="118"/>
      <c r="AZ10" s="118"/>
      <c r="BA10" s="118"/>
      <c r="BB10" s="118"/>
      <c r="BC10" s="118"/>
      <c r="BD10" s="216" t="s">
        <v>153</v>
      </c>
      <c r="BE10" s="96">
        <f t="shared" si="6"/>
        <v>0</v>
      </c>
      <c r="BF10" s="145" t="s">
        <v>9</v>
      </c>
      <c r="BG10" s="146">
        <f>BI10/'User input'!$W$13</f>
        <v>0</v>
      </c>
      <c r="BH10" s="145" t="s">
        <v>10</v>
      </c>
      <c r="BI10" s="96">
        <f>'User input'!D20</f>
        <v>0</v>
      </c>
      <c r="BJ10" s="145" t="s">
        <v>11</v>
      </c>
      <c r="BK10" s="147">
        <f t="shared" si="7"/>
        <v>0</v>
      </c>
      <c r="BL10" s="94" t="s">
        <v>16</v>
      </c>
      <c r="BM10" s="5"/>
      <c r="BN10" s="5"/>
      <c r="BO10" s="5"/>
      <c r="BP10" s="5"/>
      <c r="BQ10" s="5"/>
    </row>
    <row r="11" spans="1:69" ht="14.7" thickBot="1" x14ac:dyDescent="0.55000000000000004">
      <c r="A11" s="5"/>
      <c r="B11" s="224" t="s">
        <v>198</v>
      </c>
      <c r="C11" s="100">
        <v>13</v>
      </c>
      <c r="D11" s="275" t="s">
        <v>195</v>
      </c>
      <c r="E11" s="204">
        <v>0.5</v>
      </c>
      <c r="F11" s="275" t="s">
        <v>196</v>
      </c>
      <c r="G11" s="105">
        <f t="shared" si="0"/>
        <v>6.5</v>
      </c>
      <c r="H11" s="106" t="s">
        <v>9</v>
      </c>
      <c r="I11" s="191" t="str">
        <f>IF('User input'!G13=$B$94,"No", IF('User input'!G13=$B$95,"Yes", IF('User input'!G13=$B$96,"Yes", IF('User input'!G13=$B$97,"Yes", IF('User input'!G13=$B$98,"Yes", IF('User input'!G13=$B$99,"Yes"))))))</f>
        <v>No</v>
      </c>
      <c r="J11" s="191" t="str">
        <f>IF('User input'!G13=$B$94,"No", IF('User input'!G13=$B$95,"No", IF('User input'!G13=$B$96,"No", IF('User input'!G13=$B$97,"Yes", IF('User input'!G13=$B$98,"Yes", IF('User input'!G13=$B$99,"Yes"))))))</f>
        <v>No</v>
      </c>
      <c r="K11" s="107">
        <f>IF('User input'!G13=$B$94,0, IF('User input'!G13=$B$95,G11, IF('User input'!G13=$B$96,G11+$P$5, IF('User input'!G13=$B$97,G11+G11, IF('User input'!G13=$B$98,G11+$P$5+G11, IF('User input'!G13=$B$99,G11+$P$5+G11+$P$5))))))</f>
        <v>0</v>
      </c>
      <c r="L11" s="5"/>
      <c r="M11" s="127" t="str">
        <f t="shared" si="2"/>
        <v>Farm → $40</v>
      </c>
      <c r="N11" s="108">
        <v>40</v>
      </c>
      <c r="O11" s="123" t="s">
        <v>9</v>
      </c>
      <c r="P11" s="112"/>
      <c r="Q11" s="112"/>
      <c r="R11" s="118"/>
      <c r="S11" s="118"/>
      <c r="T11" s="118"/>
      <c r="U11" s="121" t="str">
        <f>"3.5 hive/acre → $"&amp;V11</f>
        <v>3.5 hive/acre → $525</v>
      </c>
      <c r="V11" s="200">
        <f>V6*3.5</f>
        <v>525</v>
      </c>
      <c r="W11" s="128" t="s">
        <v>9</v>
      </c>
      <c r="X11" s="118"/>
      <c r="Y11" s="150" t="str">
        <f t="shared" si="8"/>
        <v>Farm → $0.08</v>
      </c>
      <c r="Z11" s="271">
        <v>0.08</v>
      </c>
      <c r="AA11" s="131" t="s">
        <v>10</v>
      </c>
      <c r="AB11" s="118"/>
      <c r="AC11" s="118"/>
      <c r="AD11" s="118"/>
      <c r="AE11" s="118"/>
      <c r="AF11" s="126" t="str">
        <f t="shared" si="3"/>
        <v>Farm → $50</v>
      </c>
      <c r="AG11" s="268">
        <v>50</v>
      </c>
      <c r="AH11" s="128" t="s">
        <v>9</v>
      </c>
      <c r="AI11" s="118"/>
      <c r="AJ11" s="118"/>
      <c r="AK11" s="118"/>
      <c r="AL11" s="118"/>
      <c r="AM11" s="118"/>
      <c r="AN11" s="85" t="s">
        <v>176</v>
      </c>
      <c r="AO11" s="220">
        <f t="shared" si="4"/>
        <v>0</v>
      </c>
      <c r="AP11" s="118"/>
      <c r="AQ11" s="118"/>
      <c r="AR11" s="118"/>
      <c r="AS11" s="118"/>
      <c r="AT11" s="118"/>
      <c r="AU11" s="118"/>
      <c r="AV11" s="118"/>
      <c r="AW11" s="118"/>
      <c r="AX11" s="118"/>
      <c r="AY11" s="118"/>
      <c r="AZ11" s="118"/>
      <c r="BA11" s="118"/>
      <c r="BB11" s="118"/>
      <c r="BC11" s="118"/>
      <c r="BD11" s="216" t="s">
        <v>154</v>
      </c>
      <c r="BE11" s="96">
        <f t="shared" si="6"/>
        <v>0</v>
      </c>
      <c r="BF11" s="145" t="s">
        <v>9</v>
      </c>
      <c r="BG11" s="146">
        <f>BI11/'User input'!$W$13</f>
        <v>0</v>
      </c>
      <c r="BH11" s="145" t="s">
        <v>10</v>
      </c>
      <c r="BI11" s="96">
        <f>'User input'!D21</f>
        <v>0</v>
      </c>
      <c r="BJ11" s="145" t="s">
        <v>11</v>
      </c>
      <c r="BK11" s="147">
        <f t="shared" si="7"/>
        <v>0</v>
      </c>
      <c r="BL11" s="94" t="s">
        <v>16</v>
      </c>
      <c r="BM11" s="5"/>
      <c r="BN11" s="5"/>
      <c r="BO11" s="5"/>
      <c r="BP11" s="5"/>
      <c r="BQ11" s="5"/>
    </row>
    <row r="12" spans="1:69" ht="15" thickTop="1" thickBot="1" x14ac:dyDescent="0.55000000000000004">
      <c r="A12" s="5"/>
      <c r="B12" s="224" t="s">
        <v>199</v>
      </c>
      <c r="C12" s="100">
        <v>10</v>
      </c>
      <c r="D12" s="275" t="s">
        <v>195</v>
      </c>
      <c r="E12" s="204">
        <v>2</v>
      </c>
      <c r="F12" s="275" t="s">
        <v>196</v>
      </c>
      <c r="G12" s="105">
        <f t="shared" si="0"/>
        <v>20</v>
      </c>
      <c r="H12" s="106" t="s">
        <v>9</v>
      </c>
      <c r="I12" s="191" t="str">
        <f>IF('User input'!G14=$B$94,"No", IF('User input'!G14=$B$95,"Yes", IF('User input'!G14=$B$96,"Yes", IF('User input'!G14=$B$97,"Yes", IF('User input'!G14=$B$98,"Yes", IF('User input'!G14=$B$99,"Yes"))))))</f>
        <v>No</v>
      </c>
      <c r="J12" s="191" t="str">
        <f>IF('User input'!G14=$B$94,"No", IF('User input'!G14=$B$95,"No", IF('User input'!G14=$B$96,"No", IF('User input'!G14=$B$97,"Yes", IF('User input'!G14=$B$98,"Yes", IF('User input'!G14=$B$99,"Yes"))))))</f>
        <v>No</v>
      </c>
      <c r="K12" s="107">
        <f>IF('User input'!G14=$B$94,0, IF('User input'!G14=$B$95,G12, IF('User input'!G14=$B$96,G12+$P$5, IF('User input'!G14=$B$97,G12+G12, IF('User input'!G14=$B$98,G12+$P$5+G12, IF('User input'!G14=$B$99,G12+$P$5+G12+$P$5))))))</f>
        <v>0</v>
      </c>
      <c r="L12" s="5"/>
      <c r="M12" s="118"/>
      <c r="N12" s="118"/>
      <c r="O12" s="118"/>
      <c r="P12" s="118"/>
      <c r="Q12" s="118"/>
      <c r="R12" s="118"/>
      <c r="S12" s="118"/>
      <c r="T12" s="118"/>
      <c r="U12" s="127" t="str">
        <f>"4 hive/acre → $"&amp;V12</f>
        <v>4 hive/acre → $600</v>
      </c>
      <c r="V12" s="201">
        <f>V6*4</f>
        <v>600</v>
      </c>
      <c r="W12" s="123" t="s">
        <v>9</v>
      </c>
      <c r="X12" s="118"/>
      <c r="Y12" s="150" t="str">
        <f t="shared" si="8"/>
        <v>Farm → $0.09</v>
      </c>
      <c r="Z12" s="271">
        <v>0.09</v>
      </c>
      <c r="AA12" s="131" t="s">
        <v>10</v>
      </c>
      <c r="AB12" s="118"/>
      <c r="AC12" s="118"/>
      <c r="AD12" s="118"/>
      <c r="AE12" s="118"/>
      <c r="AF12" s="126" t="str">
        <f t="shared" si="3"/>
        <v>Farm → $60</v>
      </c>
      <c r="AG12" s="268">
        <v>60</v>
      </c>
      <c r="AH12" s="128" t="s">
        <v>9</v>
      </c>
      <c r="AI12" s="118"/>
      <c r="AJ12" s="118"/>
      <c r="AK12" s="118"/>
      <c r="AL12" s="118"/>
      <c r="AM12" s="118"/>
      <c r="AN12" s="85" t="s">
        <v>175</v>
      </c>
      <c r="AO12" s="220">
        <f t="shared" si="4"/>
        <v>0</v>
      </c>
      <c r="AP12" s="118"/>
      <c r="AQ12" s="118"/>
      <c r="AR12" s="118"/>
      <c r="AS12" s="118"/>
      <c r="AT12" s="118"/>
      <c r="AU12" s="118"/>
      <c r="AV12" s="118"/>
      <c r="AW12" s="118"/>
      <c r="AX12" s="118"/>
      <c r="AY12" s="118"/>
      <c r="AZ12" s="118"/>
      <c r="BA12" s="118"/>
      <c r="BB12" s="118"/>
      <c r="BC12" s="118"/>
      <c r="BD12" s="216" t="s">
        <v>155</v>
      </c>
      <c r="BE12" s="96">
        <f t="shared" si="6"/>
        <v>0</v>
      </c>
      <c r="BF12" s="145" t="s">
        <v>9</v>
      </c>
      <c r="BG12" s="146">
        <f>BI12/'User input'!$W$13</f>
        <v>0</v>
      </c>
      <c r="BH12" s="145" t="s">
        <v>10</v>
      </c>
      <c r="BI12" s="96">
        <f>'User input'!D22</f>
        <v>0</v>
      </c>
      <c r="BJ12" s="145" t="s">
        <v>11</v>
      </c>
      <c r="BK12" s="147">
        <f t="shared" si="7"/>
        <v>0</v>
      </c>
      <c r="BL12" s="94" t="s">
        <v>16</v>
      </c>
      <c r="BM12" s="5"/>
      <c r="BN12" s="5"/>
      <c r="BO12" s="5"/>
      <c r="BP12" s="5"/>
      <c r="BQ12" s="5"/>
    </row>
    <row r="13" spans="1:69" ht="15" thickTop="1" thickBot="1" x14ac:dyDescent="0.55000000000000004">
      <c r="A13" s="5"/>
      <c r="B13" s="224" t="s">
        <v>200</v>
      </c>
      <c r="C13" s="100">
        <v>10</v>
      </c>
      <c r="D13" s="275" t="s">
        <v>195</v>
      </c>
      <c r="E13" s="204">
        <v>1.5</v>
      </c>
      <c r="F13" s="275" t="s">
        <v>196</v>
      </c>
      <c r="G13" s="105">
        <f t="shared" si="0"/>
        <v>15</v>
      </c>
      <c r="H13" s="106" t="s">
        <v>9</v>
      </c>
      <c r="I13" s="191" t="str">
        <f>IF('User input'!G15=$B$94,"No", IF('User input'!G15=$B$95,"Yes", IF('User input'!G15=$B$96,"Yes", IF('User input'!G15=$B$97,"Yes", IF('User input'!G15=$B$98,"Yes", IF('User input'!G15=$B$99,"Yes"))))))</f>
        <v>No</v>
      </c>
      <c r="J13" s="191" t="str">
        <f>IF('User input'!G15=$B$94,"No", IF('User input'!G15=$B$95,"No", IF('User input'!G15=$B$96,"No", IF('User input'!G15=$B$97,"Yes", IF('User input'!G15=$B$98,"Yes", IF('User input'!G15=$B$99,"Yes"))))))</f>
        <v>No</v>
      </c>
      <c r="K13" s="107">
        <f>IF('User input'!G15=$B$94,0, IF('User input'!G15=$B$95,G13, IF('User input'!G15=$B$96,G13+$P$5, IF('User input'!G15=$B$97,G13+G13, IF('User input'!G15=$B$98,G13+$P$5+G13, IF('User input'!G15=$B$99,G13+$P$5+G13+$P$5))))))</f>
        <v>0</v>
      </c>
      <c r="L13" s="5"/>
      <c r="M13" s="101" t="s">
        <v>31</v>
      </c>
      <c r="N13" s="102" t="s">
        <v>37</v>
      </c>
      <c r="O13" s="102"/>
      <c r="P13" s="102" t="s">
        <v>38</v>
      </c>
      <c r="Q13" s="102"/>
      <c r="R13" s="102" t="s">
        <v>137</v>
      </c>
      <c r="S13" s="103"/>
      <c r="T13" s="118"/>
      <c r="U13" s="118"/>
      <c r="V13" s="118"/>
      <c r="W13" s="118"/>
      <c r="X13" s="118"/>
      <c r="Y13" s="150" t="str">
        <f t="shared" si="8"/>
        <v>Farm → $0.1</v>
      </c>
      <c r="Z13" s="271">
        <v>9.9999999999999992E-2</v>
      </c>
      <c r="AA13" s="131" t="s">
        <v>10</v>
      </c>
      <c r="AB13" s="118"/>
      <c r="AC13" s="118"/>
      <c r="AD13" s="118"/>
      <c r="AE13" s="118"/>
      <c r="AF13" s="126" t="str">
        <f t="shared" si="3"/>
        <v>Farm → $70</v>
      </c>
      <c r="AG13" s="268">
        <v>70</v>
      </c>
      <c r="AH13" s="128" t="s">
        <v>9</v>
      </c>
      <c r="AI13" s="118"/>
      <c r="AJ13" s="118"/>
      <c r="AK13" s="118"/>
      <c r="AL13" s="118"/>
      <c r="AM13" s="118"/>
      <c r="AN13" s="85" t="s">
        <v>174</v>
      </c>
      <c r="AO13" s="220">
        <f t="shared" si="4"/>
        <v>0</v>
      </c>
      <c r="AP13" s="118"/>
      <c r="AQ13" s="118"/>
      <c r="AR13" s="118"/>
      <c r="AS13" s="118"/>
      <c r="AT13" s="118"/>
      <c r="AU13" s="118"/>
      <c r="AV13" s="118"/>
      <c r="AW13" s="118"/>
      <c r="AX13" s="118"/>
      <c r="AY13" s="118"/>
      <c r="AZ13" s="118"/>
      <c r="BA13" s="118"/>
      <c r="BB13" s="118"/>
      <c r="BC13" s="118"/>
      <c r="BD13" s="85" t="s">
        <v>67</v>
      </c>
      <c r="BE13" s="96">
        <f t="shared" si="6"/>
        <v>0</v>
      </c>
      <c r="BF13" s="145" t="s">
        <v>9</v>
      </c>
      <c r="BG13" s="146">
        <f>BI13/'User input'!$W$13</f>
        <v>0</v>
      </c>
      <c r="BH13" s="145" t="s">
        <v>10</v>
      </c>
      <c r="BI13" s="96">
        <f>'User input'!D23</f>
        <v>0</v>
      </c>
      <c r="BJ13" s="145" t="s">
        <v>11</v>
      </c>
      <c r="BK13" s="147">
        <f t="shared" si="7"/>
        <v>0</v>
      </c>
      <c r="BL13" s="94" t="s">
        <v>16</v>
      </c>
      <c r="BM13" s="5"/>
      <c r="BN13" s="5"/>
      <c r="BO13" s="5"/>
      <c r="BP13" s="5"/>
      <c r="BQ13" s="5"/>
    </row>
    <row r="14" spans="1:69" ht="15" thickTop="1" thickBot="1" x14ac:dyDescent="0.55000000000000004">
      <c r="A14" s="5"/>
      <c r="B14" s="224" t="s">
        <v>140</v>
      </c>
      <c r="C14" s="100"/>
      <c r="D14" s="275" t="s">
        <v>172</v>
      </c>
      <c r="E14" s="204"/>
      <c r="F14" s="275" t="s">
        <v>173</v>
      </c>
      <c r="G14" s="105">
        <f t="shared" si="0"/>
        <v>0</v>
      </c>
      <c r="H14" s="106" t="s">
        <v>9</v>
      </c>
      <c r="I14" s="191" t="str">
        <f>IF('User input'!G16=$B$94,"No", IF('User input'!G16=$B$95,"Yes", IF('User input'!G16=$B$96,"Yes", IF('User input'!G16=$B$97,"Yes", IF('User input'!G16=$B$98,"Yes", IF('User input'!G16=$B$99,"Yes"))))))</f>
        <v>No</v>
      </c>
      <c r="J14" s="191" t="str">
        <f>IF('User input'!G16=$B$94,"No", IF('User input'!G16=$B$95,"No", IF('User input'!G16=$B$96,"No", IF('User input'!G16=$B$97,"Yes", IF('User input'!G16=$B$98,"Yes", IF('User input'!G16=$B$99,"Yes"))))))</f>
        <v>No</v>
      </c>
      <c r="K14" s="107">
        <f>IF('User input'!G16=$B$94,0, IF('User input'!G16=$B$95,G14, IF('User input'!G16=$B$96,G14+$P$5, IF('User input'!G16=$B$97,G14+G14, IF('User input'!G16=$B$98,G14+$P$5+G14, IF('User input'!G16=$B$99,G14+$P$5+G14+$P$5))))))</f>
        <v>0</v>
      </c>
      <c r="L14" s="5"/>
      <c r="M14" s="127" t="s">
        <v>30</v>
      </c>
      <c r="N14" s="129">
        <f>0</f>
        <v>0</v>
      </c>
      <c r="O14" s="111" t="s">
        <v>9</v>
      </c>
      <c r="P14" s="129">
        <f>(VLOOKUP('User input'!D27,M5:N11,2,FALSE))*0</f>
        <v>0</v>
      </c>
      <c r="Q14" s="111" t="s">
        <v>9</v>
      </c>
      <c r="R14" s="122">
        <f>N14+P14</f>
        <v>0</v>
      </c>
      <c r="S14" s="123" t="s">
        <v>9</v>
      </c>
      <c r="T14" s="118"/>
      <c r="U14" s="373" t="s">
        <v>162</v>
      </c>
      <c r="V14" s="374"/>
      <c r="W14" s="375"/>
      <c r="X14" s="118"/>
      <c r="Y14" s="150" t="str">
        <f t="shared" si="8"/>
        <v>Farm → $0.11</v>
      </c>
      <c r="Z14" s="271">
        <v>0.10999999999999999</v>
      </c>
      <c r="AA14" s="131" t="s">
        <v>10</v>
      </c>
      <c r="AB14" s="118"/>
      <c r="AC14" s="118"/>
      <c r="AD14" s="118"/>
      <c r="AE14" s="118"/>
      <c r="AF14" s="126" t="str">
        <f t="shared" si="3"/>
        <v>Farm → $80</v>
      </c>
      <c r="AG14" s="268">
        <v>80</v>
      </c>
      <c r="AH14" s="128" t="s">
        <v>9</v>
      </c>
      <c r="AI14" s="118"/>
      <c r="AJ14" s="118"/>
      <c r="AK14" s="118"/>
      <c r="AL14" s="118"/>
      <c r="AM14" s="118"/>
      <c r="AN14" s="219" t="str">
        <f>'User input'!S20</f>
        <v>Herbicide</v>
      </c>
      <c r="AO14" s="220">
        <f t="shared" si="4"/>
        <v>0</v>
      </c>
      <c r="AP14" s="118"/>
      <c r="AQ14" s="118"/>
      <c r="AR14" s="118"/>
      <c r="AS14" s="118"/>
      <c r="AT14" s="118"/>
      <c r="AU14" s="118"/>
      <c r="AV14" s="118"/>
      <c r="AW14" s="118"/>
      <c r="AX14" s="118"/>
      <c r="AY14" s="118"/>
      <c r="AZ14" s="118"/>
      <c r="BA14" s="118"/>
      <c r="BB14" s="118"/>
      <c r="BC14" s="118"/>
      <c r="BD14" s="85" t="s">
        <v>176</v>
      </c>
      <c r="BE14" s="96">
        <f t="shared" si="6"/>
        <v>0</v>
      </c>
      <c r="BF14" s="145" t="s">
        <v>9</v>
      </c>
      <c r="BG14" s="146">
        <f>BI14/'User input'!$W$13</f>
        <v>0</v>
      </c>
      <c r="BH14" s="145" t="s">
        <v>10</v>
      </c>
      <c r="BI14" s="96">
        <f>'User input'!D24</f>
        <v>0</v>
      </c>
      <c r="BJ14" s="145" t="s">
        <v>11</v>
      </c>
      <c r="BK14" s="147">
        <f t="shared" si="7"/>
        <v>0</v>
      </c>
      <c r="BL14" s="94" t="s">
        <v>16</v>
      </c>
      <c r="BM14" s="5"/>
      <c r="BN14" s="5"/>
      <c r="BO14" s="5"/>
      <c r="BP14" s="5"/>
      <c r="BQ14" s="5"/>
    </row>
    <row r="15" spans="1:69" ht="15" thickTop="1" thickBot="1" x14ac:dyDescent="0.55000000000000004">
      <c r="A15" s="5"/>
      <c r="B15" s="224" t="s">
        <v>140</v>
      </c>
      <c r="C15" s="100"/>
      <c r="D15" s="275" t="s">
        <v>172</v>
      </c>
      <c r="E15" s="204"/>
      <c r="F15" s="275" t="s">
        <v>173</v>
      </c>
      <c r="G15" s="105">
        <f t="shared" ref="G15:G23" si="9">C15*E15</f>
        <v>0</v>
      </c>
      <c r="H15" s="106" t="s">
        <v>9</v>
      </c>
      <c r="I15" s="191" t="str">
        <f>IF('User input'!G17=$B$94,"No", IF('User input'!G17=$B$95,"Yes", IF('User input'!G17=$B$96,"Yes", IF('User input'!G17=$B$97,"Yes", IF('User input'!G17=$B$98,"Yes", IF('User input'!G17=$B$99,"Yes"))))))</f>
        <v>No</v>
      </c>
      <c r="J15" s="191" t="str">
        <f>IF('User input'!G17=$B$94,"No", IF('User input'!G17=$B$95,"No", IF('User input'!G17=$B$96,"No", IF('User input'!G17=$B$97,"Yes", IF('User input'!G17=$B$98,"Yes", IF('User input'!G17=$B$99,"Yes"))))))</f>
        <v>No</v>
      </c>
      <c r="K15" s="107">
        <f>IF('User input'!G17=$B$94,0, IF('User input'!G17=$B$95,G15, IF('User input'!G17=$B$96,G15+$P$5, IF('User input'!G17=$B$97,G15+G15, IF('User input'!G17=$B$98,G15+$P$5+G15, IF('User input'!G17=$B$99,G15+$P$5+G15+$P$5))))))</f>
        <v>0</v>
      </c>
      <c r="L15" s="5"/>
      <c r="M15" s="118"/>
      <c r="N15" s="118"/>
      <c r="O15" s="118"/>
      <c r="P15" s="118"/>
      <c r="Q15" s="118"/>
      <c r="R15" s="118"/>
      <c r="S15" s="118"/>
      <c r="T15" s="118"/>
      <c r="U15" s="248" t="str">
        <f>"No quads → $"&amp;V15</f>
        <v>No quads → $0</v>
      </c>
      <c r="V15" s="249">
        <v>0</v>
      </c>
      <c r="W15" s="250" t="s">
        <v>9</v>
      </c>
      <c r="X15" s="118"/>
      <c r="Y15" s="150" t="str">
        <f t="shared" si="8"/>
        <v>Farm → $0.12</v>
      </c>
      <c r="Z15" s="271">
        <v>0.11999999999999998</v>
      </c>
      <c r="AA15" s="131" t="s">
        <v>10</v>
      </c>
      <c r="AB15" s="118"/>
      <c r="AC15" s="118"/>
      <c r="AD15" s="118"/>
      <c r="AE15" s="118"/>
      <c r="AF15" s="126" t="str">
        <f t="shared" si="3"/>
        <v>Farm → $90</v>
      </c>
      <c r="AG15" s="268">
        <v>90</v>
      </c>
      <c r="AH15" s="128" t="s">
        <v>9</v>
      </c>
      <c r="AI15" s="118"/>
      <c r="AJ15" s="118"/>
      <c r="AK15" s="118"/>
      <c r="AL15" s="118"/>
      <c r="AM15" s="118"/>
      <c r="AN15" s="219" t="str">
        <f>'User input'!S21</f>
        <v>Fungicide</v>
      </c>
      <c r="AO15" s="220">
        <f t="shared" si="4"/>
        <v>0</v>
      </c>
      <c r="AP15" s="118"/>
      <c r="AQ15" s="118"/>
      <c r="AR15" s="118"/>
      <c r="AS15" s="118"/>
      <c r="AT15" s="118"/>
      <c r="AU15" s="118"/>
      <c r="AV15" s="118"/>
      <c r="AW15" s="118"/>
      <c r="AX15" s="118"/>
      <c r="AY15" s="118"/>
      <c r="AZ15" s="118"/>
      <c r="BA15" s="118"/>
      <c r="BB15" s="118"/>
      <c r="BC15" s="118"/>
      <c r="BD15" s="85" t="s">
        <v>175</v>
      </c>
      <c r="BE15" s="96">
        <f t="shared" si="6"/>
        <v>0</v>
      </c>
      <c r="BF15" s="145" t="s">
        <v>9</v>
      </c>
      <c r="BG15" s="146">
        <f>BI15/'User input'!$W$13</f>
        <v>0</v>
      </c>
      <c r="BH15" s="145" t="s">
        <v>10</v>
      </c>
      <c r="BI15" s="96">
        <f>'User input'!D25</f>
        <v>0</v>
      </c>
      <c r="BJ15" s="145" t="s">
        <v>11</v>
      </c>
      <c r="BK15" s="147">
        <f t="shared" si="7"/>
        <v>0</v>
      </c>
      <c r="BL15" s="94" t="s">
        <v>16</v>
      </c>
      <c r="BM15" s="5"/>
      <c r="BN15" s="5"/>
      <c r="BO15" s="5"/>
      <c r="BP15" s="5"/>
      <c r="BQ15" s="5"/>
    </row>
    <row r="16" spans="1:69" ht="14.7" thickTop="1" x14ac:dyDescent="0.5">
      <c r="A16" s="5"/>
      <c r="B16" s="224" t="s">
        <v>140</v>
      </c>
      <c r="C16" s="100"/>
      <c r="D16" s="275" t="s">
        <v>172</v>
      </c>
      <c r="E16" s="204"/>
      <c r="F16" s="275" t="s">
        <v>173</v>
      </c>
      <c r="G16" s="105">
        <f t="shared" si="9"/>
        <v>0</v>
      </c>
      <c r="H16" s="106" t="s">
        <v>9</v>
      </c>
      <c r="I16" s="191" t="str">
        <f>IF('User input'!G18=$B$94,"No", IF('User input'!G18=$B$95,"Yes", IF('User input'!G18=$B$96,"Yes", IF('User input'!G18=$B$97,"Yes", IF('User input'!G18=$B$98,"Yes", IF('User input'!G18=$B$99,"Yes"))))))</f>
        <v>No</v>
      </c>
      <c r="J16" s="191" t="str">
        <f>IF('User input'!G18=$B$94,"No", IF('User input'!G18=$B$95,"No", IF('User input'!G18=$B$96,"No", IF('User input'!G18=$B$97,"Yes", IF('User input'!G18=$B$98,"Yes", IF('User input'!G18=$B$99,"Yes"))))))</f>
        <v>No</v>
      </c>
      <c r="K16" s="107">
        <f>IF('User input'!G18=$B$94,0, IF('User input'!G18=$B$95,G16, IF('User input'!G18=$B$96,G16+$P$5, IF('User input'!G18=$B$97,G16+G16, IF('User input'!G18=$B$98,G16+$P$5+G16, IF('User input'!G18=$B$99,G16+$P$5+G16+$P$5))))))</f>
        <v>0</v>
      </c>
      <c r="L16" s="5"/>
      <c r="M16" s="101" t="s">
        <v>39</v>
      </c>
      <c r="N16" s="102" t="s">
        <v>40</v>
      </c>
      <c r="O16" s="130"/>
      <c r="P16" s="102" t="s">
        <v>38</v>
      </c>
      <c r="Q16" s="130"/>
      <c r="R16" s="102" t="s">
        <v>137</v>
      </c>
      <c r="S16" s="103"/>
      <c r="T16" s="118"/>
      <c r="U16" s="235" t="str">
        <f>"0.25 quad/acre → $"&amp;V16</f>
        <v>0.25 quad/acre → $87.5</v>
      </c>
      <c r="V16" s="240">
        <f>V19*0.25</f>
        <v>87.5</v>
      </c>
      <c r="W16" s="236" t="s">
        <v>9</v>
      </c>
      <c r="X16" s="118"/>
      <c r="Y16" s="150" t="str">
        <f t="shared" si="8"/>
        <v>Farm → $0.13</v>
      </c>
      <c r="Z16" s="271">
        <v>0.12999999999999998</v>
      </c>
      <c r="AA16" s="131" t="s">
        <v>10</v>
      </c>
      <c r="AB16" s="118"/>
      <c r="AC16" s="118"/>
      <c r="AD16" s="118"/>
      <c r="AE16" s="118"/>
      <c r="AF16" s="126" t="str">
        <f t="shared" si="3"/>
        <v>Farm → $100</v>
      </c>
      <c r="AG16" s="268">
        <v>100</v>
      </c>
      <c r="AH16" s="128" t="s">
        <v>9</v>
      </c>
      <c r="AI16" s="118"/>
      <c r="AJ16" s="118"/>
      <c r="AK16" s="118"/>
      <c r="AL16" s="118"/>
      <c r="AM16" s="118"/>
      <c r="AN16" s="219" t="str">
        <f>'User input'!S22</f>
        <v>Insecticide</v>
      </c>
      <c r="AO16" s="220">
        <f t="shared" si="4"/>
        <v>0</v>
      </c>
      <c r="AP16" s="118"/>
      <c r="AQ16" s="118"/>
      <c r="AR16" s="118"/>
      <c r="AS16" s="118"/>
      <c r="AT16" s="118"/>
      <c r="AU16" s="118"/>
      <c r="AV16" s="118"/>
      <c r="AW16" s="118"/>
      <c r="AX16" s="118"/>
      <c r="AY16" s="118"/>
      <c r="AZ16" s="118"/>
      <c r="BA16" s="118"/>
      <c r="BB16" s="118"/>
      <c r="BC16" s="118"/>
      <c r="BD16" s="85" t="s">
        <v>174</v>
      </c>
      <c r="BE16" s="96">
        <f t="shared" si="6"/>
        <v>0</v>
      </c>
      <c r="BF16" s="145" t="s">
        <v>9</v>
      </c>
      <c r="BG16" s="146">
        <f>BI16/'User input'!$W$13</f>
        <v>0</v>
      </c>
      <c r="BH16" s="145" t="s">
        <v>10</v>
      </c>
      <c r="BI16" s="96">
        <f>'User input'!D26</f>
        <v>0</v>
      </c>
      <c r="BJ16" s="145" t="s">
        <v>11</v>
      </c>
      <c r="BK16" s="147">
        <f t="shared" si="7"/>
        <v>0</v>
      </c>
      <c r="BL16" s="94" t="s">
        <v>16</v>
      </c>
      <c r="BM16" s="5"/>
      <c r="BN16" s="5"/>
      <c r="BO16" s="5"/>
      <c r="BP16" s="5"/>
      <c r="BQ16" s="5"/>
    </row>
    <row r="17" spans="1:69" ht="14.7" thickBot="1" x14ac:dyDescent="0.55000000000000004">
      <c r="A17" s="5"/>
      <c r="B17" s="224" t="s">
        <v>140</v>
      </c>
      <c r="C17" s="100"/>
      <c r="D17" s="275" t="s">
        <v>172</v>
      </c>
      <c r="E17" s="204"/>
      <c r="F17" s="275" t="s">
        <v>173</v>
      </c>
      <c r="G17" s="105">
        <f t="shared" si="9"/>
        <v>0</v>
      </c>
      <c r="H17" s="106" t="s">
        <v>9</v>
      </c>
      <c r="I17" s="191" t="str">
        <f>IF('User input'!G19=$B$94,"No", IF('User input'!G19=$B$95,"Yes", IF('User input'!G19=$B$96,"Yes", IF('User input'!G19=$B$97,"Yes", IF('User input'!G19=$B$98,"Yes", IF('User input'!G19=$B$99,"Yes"))))))</f>
        <v>No</v>
      </c>
      <c r="J17" s="191" t="str">
        <f>IF('User input'!G19=$B$94,"No", IF('User input'!G19=$B$95,"No", IF('User input'!G19=$B$96,"No", IF('User input'!G19=$B$97,"Yes", IF('User input'!G19=$B$98,"Yes", IF('User input'!G19=$B$99,"Yes"))))))</f>
        <v>No</v>
      </c>
      <c r="K17" s="107">
        <f>IF('User input'!G19=$B$94,0, IF('User input'!G19=$B$95,G17, IF('User input'!G19=$B$96,G17+$P$5, IF('User input'!G19=$B$97,G17+G17, IF('User input'!G19=$B$98,G17+$P$5+G17, IF('User input'!G19=$B$99,G17+$P$5+G17+$P$5))))))</f>
        <v>0</v>
      </c>
      <c r="L17" s="5"/>
      <c r="M17" s="127" t="s">
        <v>30</v>
      </c>
      <c r="N17" s="129">
        <f>0</f>
        <v>0</v>
      </c>
      <c r="O17" s="111" t="s">
        <v>9</v>
      </c>
      <c r="P17" s="129">
        <f>(VLOOKUP('User input'!D27,M5:N11,2,FALSE))*0</f>
        <v>0</v>
      </c>
      <c r="Q17" s="111" t="s">
        <v>9</v>
      </c>
      <c r="R17" s="122">
        <f>N17+P17</f>
        <v>0</v>
      </c>
      <c r="S17" s="123" t="s">
        <v>9</v>
      </c>
      <c r="T17" s="118"/>
      <c r="U17" s="235" t="str">
        <f>"0.5 quad/acre → $"&amp;V17</f>
        <v>0.5 quad/acre → $175</v>
      </c>
      <c r="V17" s="240">
        <f>V19*0.5</f>
        <v>175</v>
      </c>
      <c r="W17" s="236" t="s">
        <v>9</v>
      </c>
      <c r="X17" s="118"/>
      <c r="Y17" s="150" t="str">
        <f t="shared" si="8"/>
        <v>Farm → $0.14</v>
      </c>
      <c r="Z17" s="271">
        <v>0.13999999999999999</v>
      </c>
      <c r="AA17" s="131" t="s">
        <v>10</v>
      </c>
      <c r="AB17" s="118"/>
      <c r="AC17" s="118"/>
      <c r="AD17" s="118"/>
      <c r="AE17" s="118"/>
      <c r="AF17" s="126" t="str">
        <f t="shared" si="3"/>
        <v>Farm → $110</v>
      </c>
      <c r="AG17" s="268">
        <v>110</v>
      </c>
      <c r="AH17" s="128" t="s">
        <v>9</v>
      </c>
      <c r="AI17" s="118"/>
      <c r="AJ17" s="118"/>
      <c r="AK17" s="118"/>
      <c r="AL17" s="118"/>
      <c r="AM17" s="118"/>
      <c r="AN17" s="219" t="str">
        <f>'User input'!S23</f>
        <v>Fertilizer</v>
      </c>
      <c r="AO17" s="220">
        <f t="shared" si="4"/>
        <v>0</v>
      </c>
      <c r="AP17" s="118"/>
      <c r="AQ17" s="118"/>
      <c r="AR17" s="118"/>
      <c r="AS17" s="118"/>
      <c r="AT17" s="118"/>
      <c r="AU17" s="118"/>
      <c r="AV17" s="118"/>
      <c r="AW17" s="118"/>
      <c r="AX17" s="118"/>
      <c r="AY17" s="118"/>
      <c r="AZ17" s="118"/>
      <c r="BA17" s="118"/>
      <c r="BB17" s="118"/>
      <c r="BC17" s="118"/>
      <c r="BD17" s="85" t="s">
        <v>2</v>
      </c>
      <c r="BE17" s="96">
        <f>'Price list'!K46</f>
        <v>0</v>
      </c>
      <c r="BF17" s="145" t="s">
        <v>9</v>
      </c>
      <c r="BG17" s="146">
        <f>BI17/'User input'!$W$13</f>
        <v>0</v>
      </c>
      <c r="BH17" s="145" t="s">
        <v>10</v>
      </c>
      <c r="BI17" s="96">
        <f>BE17*'User input'!D9</f>
        <v>0</v>
      </c>
      <c r="BJ17" s="145" t="s">
        <v>11</v>
      </c>
      <c r="BK17" s="147">
        <f t="shared" si="7"/>
        <v>0</v>
      </c>
      <c r="BL17" s="94" t="s">
        <v>16</v>
      </c>
      <c r="BM17" s="5"/>
      <c r="BN17" s="5"/>
      <c r="BO17" s="5"/>
      <c r="BP17" s="5"/>
      <c r="BQ17" s="5"/>
    </row>
    <row r="18" spans="1:69" ht="15" thickTop="1" thickBot="1" x14ac:dyDescent="0.55000000000000004">
      <c r="A18" s="5"/>
      <c r="B18" s="224" t="s">
        <v>140</v>
      </c>
      <c r="C18" s="100"/>
      <c r="D18" s="275" t="s">
        <v>172</v>
      </c>
      <c r="E18" s="204"/>
      <c r="F18" s="275" t="s">
        <v>173</v>
      </c>
      <c r="G18" s="105">
        <f t="shared" si="9"/>
        <v>0</v>
      </c>
      <c r="H18" s="106" t="s">
        <v>9</v>
      </c>
      <c r="I18" s="191" t="str">
        <f>IF('User input'!G20=$B$94,"No", IF('User input'!G20=$B$95,"Yes", IF('User input'!G20=$B$96,"Yes", IF('User input'!G20=$B$97,"Yes", IF('User input'!G20=$B$98,"Yes", IF('User input'!G20=$B$99,"Yes"))))))</f>
        <v>No</v>
      </c>
      <c r="J18" s="191" t="str">
        <f>IF('User input'!G20=$B$94,"No", IF('User input'!G20=$B$95,"No", IF('User input'!G20=$B$96,"No", IF('User input'!G20=$B$97,"Yes", IF('User input'!G20=$B$98,"Yes", IF('User input'!G20=$B$99,"Yes"))))))</f>
        <v>No</v>
      </c>
      <c r="K18" s="107">
        <f>IF('User input'!G20=$B$94,0, IF('User input'!G20=$B$95,G18, IF('User input'!G20=$B$96,G18+$P$5, IF('User input'!G20=$B$97,G18+G18, IF('User input'!G20=$B$98,G18+$P$5+G18, IF('User input'!G20=$B$99,G18+$P$5+G18+$P$5))))))</f>
        <v>0</v>
      </c>
      <c r="L18" s="5"/>
      <c r="M18" s="118"/>
      <c r="N18" s="118"/>
      <c r="O18" s="118"/>
      <c r="P18" s="118"/>
      <c r="Q18" s="118"/>
      <c r="R18" s="118"/>
      <c r="S18" s="118"/>
      <c r="T18" s="118"/>
      <c r="U18" s="235" t="str">
        <f>"0.75 quad/acre → $"&amp;V18</f>
        <v>0.75 quad/acre → $262.5</v>
      </c>
      <c r="V18" s="240">
        <f>V19*0.75</f>
        <v>262.5</v>
      </c>
      <c r="W18" s="236" t="s">
        <v>9</v>
      </c>
      <c r="X18" s="118"/>
      <c r="Y18" s="150" t="str">
        <f t="shared" si="8"/>
        <v>Farm → $0.15</v>
      </c>
      <c r="Z18" s="271">
        <v>0.15</v>
      </c>
      <c r="AA18" s="131" t="s">
        <v>10</v>
      </c>
      <c r="AB18" s="118"/>
      <c r="AC18" s="118"/>
      <c r="AD18" s="118"/>
      <c r="AE18" s="118"/>
      <c r="AF18" s="126" t="str">
        <f t="shared" si="3"/>
        <v>Farm → $120</v>
      </c>
      <c r="AG18" s="268">
        <v>120</v>
      </c>
      <c r="AH18" s="128" t="s">
        <v>9</v>
      </c>
      <c r="AI18" s="118"/>
      <c r="AJ18" s="118"/>
      <c r="AK18" s="118"/>
      <c r="AL18" s="118"/>
      <c r="AM18" s="118"/>
      <c r="AN18" s="219" t="str">
        <f>'User input'!S24</f>
        <v>Pollination</v>
      </c>
      <c r="AO18" s="220">
        <f t="shared" si="4"/>
        <v>5000</v>
      </c>
      <c r="AP18" s="118"/>
      <c r="AQ18" s="118"/>
      <c r="AR18" s="118"/>
      <c r="AS18" s="118"/>
      <c r="AT18" s="118"/>
      <c r="AU18" s="118"/>
      <c r="AV18" s="118"/>
      <c r="AW18" s="118"/>
      <c r="AX18" s="118"/>
      <c r="AY18" s="118"/>
      <c r="AZ18" s="118"/>
      <c r="BA18" s="118"/>
      <c r="BB18" s="118"/>
      <c r="BC18" s="118"/>
      <c r="BD18" s="85" t="s">
        <v>3</v>
      </c>
      <c r="BE18" s="96">
        <f>'Price list'!K68</f>
        <v>0</v>
      </c>
      <c r="BF18" s="145" t="s">
        <v>9</v>
      </c>
      <c r="BG18" s="146">
        <f>BI18/'User input'!$W$13</f>
        <v>0</v>
      </c>
      <c r="BH18" s="145" t="s">
        <v>10</v>
      </c>
      <c r="BI18" s="96">
        <f>BE18*'User input'!D9</f>
        <v>0</v>
      </c>
      <c r="BJ18" s="145" t="s">
        <v>11</v>
      </c>
      <c r="BK18" s="147">
        <f t="shared" si="7"/>
        <v>0</v>
      </c>
      <c r="BL18" s="94" t="s">
        <v>16</v>
      </c>
      <c r="BM18" s="5"/>
      <c r="BN18" s="5"/>
      <c r="BO18" s="5"/>
      <c r="BP18" s="5"/>
      <c r="BQ18" s="5"/>
    </row>
    <row r="19" spans="1:69" ht="14.7" thickTop="1" x14ac:dyDescent="0.5">
      <c r="A19" s="5"/>
      <c r="B19" s="224" t="s">
        <v>140</v>
      </c>
      <c r="C19" s="100"/>
      <c r="D19" s="275" t="s">
        <v>172</v>
      </c>
      <c r="E19" s="204"/>
      <c r="F19" s="275" t="s">
        <v>173</v>
      </c>
      <c r="G19" s="105">
        <f t="shared" si="9"/>
        <v>0</v>
      </c>
      <c r="H19" s="106" t="s">
        <v>9</v>
      </c>
      <c r="I19" s="191" t="str">
        <f>IF('User input'!G21=$B$94,"No", IF('User input'!G21=$B$95,"Yes", IF('User input'!G21=$B$96,"Yes", IF('User input'!G21=$B$97,"Yes", IF('User input'!G21=$B$98,"Yes", IF('User input'!G21=$B$99,"Yes"))))))</f>
        <v>No</v>
      </c>
      <c r="J19" s="191" t="str">
        <f>IF('User input'!G21=$B$94,"No", IF('User input'!G21=$B$95,"No", IF('User input'!G21=$B$96,"No", IF('User input'!G21=$B$97,"Yes", IF('User input'!G21=$B$98,"Yes", IF('User input'!G21=$B$99,"Yes"))))))</f>
        <v>No</v>
      </c>
      <c r="K19" s="107">
        <f>IF('User input'!G21=$B$94,0, IF('User input'!G21=$B$95,G19, IF('User input'!G21=$B$96,G19+$P$5, IF('User input'!G21=$B$97,G19+G19, IF('User input'!G21=$B$98,G19+$P$5+G19, IF('User input'!G21=$B$99,G19+$P$5+G19+$P$5))))))</f>
        <v>0</v>
      </c>
      <c r="L19" s="5"/>
      <c r="M19" s="101" t="s">
        <v>41</v>
      </c>
      <c r="N19" s="102" t="s">
        <v>42</v>
      </c>
      <c r="O19" s="130"/>
      <c r="P19" s="102" t="s">
        <v>38</v>
      </c>
      <c r="Q19" s="130"/>
      <c r="R19" s="102" t="s">
        <v>137</v>
      </c>
      <c r="S19" s="103"/>
      <c r="T19" s="118"/>
      <c r="U19" s="235" t="str">
        <f>"1 quad/acre → $"&amp;V19</f>
        <v>1 quad/acre → $350</v>
      </c>
      <c r="V19" s="239">
        <v>350</v>
      </c>
      <c r="W19" s="236" t="s">
        <v>9</v>
      </c>
      <c r="X19" s="118"/>
      <c r="Y19" s="150" t="str">
        <f t="shared" si="8"/>
        <v>Farm → $0.16</v>
      </c>
      <c r="Z19" s="271">
        <v>0.16</v>
      </c>
      <c r="AA19" s="131" t="s">
        <v>10</v>
      </c>
      <c r="AB19" s="118"/>
      <c r="AC19" s="118"/>
      <c r="AD19" s="118"/>
      <c r="AE19" s="118"/>
      <c r="AF19" s="126" t="str">
        <f t="shared" si="3"/>
        <v>Farm → $130</v>
      </c>
      <c r="AG19" s="268">
        <v>130</v>
      </c>
      <c r="AH19" s="128" t="s">
        <v>9</v>
      </c>
      <c r="AI19" s="118"/>
      <c r="AJ19" s="118"/>
      <c r="AK19" s="118"/>
      <c r="AL19" s="118"/>
      <c r="AM19" s="118"/>
      <c r="AN19" s="219" t="str">
        <f>'User input'!S25</f>
        <v>Harvesting</v>
      </c>
      <c r="AO19" s="220">
        <f t="shared" si="4"/>
        <v>7150</v>
      </c>
      <c r="AP19" s="118"/>
      <c r="AQ19" s="118"/>
      <c r="AR19" s="118"/>
      <c r="AS19" s="118"/>
      <c r="AT19" s="118"/>
      <c r="AU19" s="118"/>
      <c r="AV19" s="118"/>
      <c r="AW19" s="118"/>
      <c r="AX19" s="118"/>
      <c r="AY19" s="118"/>
      <c r="AZ19" s="118"/>
      <c r="BA19" s="118"/>
      <c r="BB19" s="118"/>
      <c r="BC19" s="118"/>
      <c r="BD19" s="85" t="s">
        <v>4</v>
      </c>
      <c r="BE19" s="96">
        <f>'Price list'!K90</f>
        <v>0</v>
      </c>
      <c r="BF19" s="145" t="s">
        <v>9</v>
      </c>
      <c r="BG19" s="146">
        <f>BI19/'User input'!$W$13</f>
        <v>0</v>
      </c>
      <c r="BH19" s="145" t="s">
        <v>10</v>
      </c>
      <c r="BI19" s="96">
        <f>BE19*'User input'!D9</f>
        <v>0</v>
      </c>
      <c r="BJ19" s="145" t="s">
        <v>11</v>
      </c>
      <c r="BK19" s="147">
        <f t="shared" si="7"/>
        <v>0</v>
      </c>
      <c r="BL19" s="94" t="s">
        <v>16</v>
      </c>
      <c r="BM19" s="5"/>
      <c r="BN19" s="5"/>
      <c r="BO19" s="5"/>
      <c r="BP19" s="5"/>
      <c r="BQ19" s="5"/>
    </row>
    <row r="20" spans="1:69" ht="14.7" thickBot="1" x14ac:dyDescent="0.55000000000000004">
      <c r="A20" s="5"/>
      <c r="B20" s="224" t="s">
        <v>140</v>
      </c>
      <c r="C20" s="100"/>
      <c r="D20" s="275" t="s">
        <v>172</v>
      </c>
      <c r="E20" s="204"/>
      <c r="F20" s="275" t="s">
        <v>173</v>
      </c>
      <c r="G20" s="105">
        <f t="shared" si="9"/>
        <v>0</v>
      </c>
      <c r="H20" s="106" t="s">
        <v>9</v>
      </c>
      <c r="I20" s="191" t="str">
        <f>IF('User input'!G22=$B$94,"No", IF('User input'!G22=$B$95,"Yes", IF('User input'!G22=$B$96,"Yes", IF('User input'!G22=$B$97,"Yes", IF('User input'!G22=$B$98,"Yes", IF('User input'!G22=$B$99,"Yes"))))))</f>
        <v>No</v>
      </c>
      <c r="J20" s="191" t="str">
        <f>IF('User input'!G22=$B$94,"No", IF('User input'!G22=$B$95,"No", IF('User input'!G22=$B$96,"No", IF('User input'!G22=$B$97,"Yes", IF('User input'!G22=$B$98,"Yes", IF('User input'!G22=$B$99,"Yes"))))))</f>
        <v>No</v>
      </c>
      <c r="K20" s="107">
        <f>IF('User input'!G22=$B$94,0, IF('User input'!G22=$B$95,G20, IF('User input'!G22=$B$96,G20+$P$5, IF('User input'!G22=$B$97,G20+G20, IF('User input'!G22=$B$98,G20+$P$5+G20, IF('User input'!G22=$B$99,G20+$P$5+G20+$P$5))))))</f>
        <v>0</v>
      </c>
      <c r="L20" s="5"/>
      <c r="M20" s="127" t="s">
        <v>30</v>
      </c>
      <c r="N20" s="129">
        <f>0</f>
        <v>0</v>
      </c>
      <c r="O20" s="111" t="s">
        <v>9</v>
      </c>
      <c r="P20" s="129">
        <f>(VLOOKUP('User input'!D27,M5:N11,2,FALSE))*0</f>
        <v>0</v>
      </c>
      <c r="Q20" s="111" t="s">
        <v>9</v>
      </c>
      <c r="R20" s="122">
        <f>N20+P20</f>
        <v>0</v>
      </c>
      <c r="S20" s="123" t="s">
        <v>9</v>
      </c>
      <c r="T20" s="118"/>
      <c r="U20" s="235" t="str">
        <f>"1.5 quad/acre → $"&amp;V20</f>
        <v>1.5 quad/acre → $525</v>
      </c>
      <c r="V20" s="240">
        <f>V19*1.5</f>
        <v>525</v>
      </c>
      <c r="W20" s="236" t="s">
        <v>9</v>
      </c>
      <c r="X20" s="118"/>
      <c r="Y20" s="150" t="str">
        <f t="shared" si="8"/>
        <v>Farm → $0.17</v>
      </c>
      <c r="Z20" s="271">
        <v>0.17</v>
      </c>
      <c r="AA20" s="131" t="s">
        <v>10</v>
      </c>
      <c r="AB20" s="118"/>
      <c r="AC20" s="118"/>
      <c r="AD20" s="118"/>
      <c r="AE20" s="118"/>
      <c r="AF20" s="126" t="str">
        <f t="shared" si="3"/>
        <v>Farm → $140</v>
      </c>
      <c r="AG20" s="268">
        <v>140</v>
      </c>
      <c r="AH20" s="128" t="s">
        <v>9</v>
      </c>
      <c r="AI20" s="118"/>
      <c r="AJ20" s="118"/>
      <c r="AK20" s="118"/>
      <c r="AL20" s="118"/>
      <c r="AM20" s="118"/>
      <c r="AN20" s="219" t="str">
        <f>'User input'!S26</f>
        <v>Trucking</v>
      </c>
      <c r="AO20" s="220">
        <f t="shared" si="4"/>
        <v>1300</v>
      </c>
      <c r="AP20" s="118"/>
      <c r="AQ20" s="118"/>
      <c r="AR20" s="118"/>
      <c r="AS20" s="118"/>
      <c r="AT20" s="118"/>
      <c r="AU20" s="118"/>
      <c r="AV20" s="118"/>
      <c r="AW20" s="118"/>
      <c r="AX20" s="118"/>
      <c r="AY20" s="118"/>
      <c r="AZ20" s="118"/>
      <c r="BA20" s="118"/>
      <c r="BB20" s="118"/>
      <c r="BC20" s="118"/>
      <c r="BD20" s="85" t="s">
        <v>5</v>
      </c>
      <c r="BE20" s="96">
        <f>'Price list'!K24</f>
        <v>0</v>
      </c>
      <c r="BF20" s="145" t="s">
        <v>9</v>
      </c>
      <c r="BG20" s="146">
        <f>BI20/'User input'!$W$13</f>
        <v>0</v>
      </c>
      <c r="BH20" s="145" t="s">
        <v>10</v>
      </c>
      <c r="BI20" s="96">
        <f>BE20*'User input'!D9</f>
        <v>0</v>
      </c>
      <c r="BJ20" s="145" t="s">
        <v>11</v>
      </c>
      <c r="BK20" s="147">
        <f t="shared" si="7"/>
        <v>0</v>
      </c>
      <c r="BL20" s="94" t="s">
        <v>16</v>
      </c>
      <c r="BM20" s="5"/>
      <c r="BN20" s="5"/>
      <c r="BO20" s="5"/>
      <c r="BP20" s="5"/>
      <c r="BQ20" s="5"/>
    </row>
    <row r="21" spans="1:69" ht="15" thickTop="1" thickBot="1" x14ac:dyDescent="0.55000000000000004">
      <c r="A21" s="5"/>
      <c r="B21" s="224" t="s">
        <v>140</v>
      </c>
      <c r="C21" s="100"/>
      <c r="D21" s="275" t="s">
        <v>172</v>
      </c>
      <c r="E21" s="204"/>
      <c r="F21" s="275" t="s">
        <v>173</v>
      </c>
      <c r="G21" s="105">
        <f t="shared" si="9"/>
        <v>0</v>
      </c>
      <c r="H21" s="106" t="s">
        <v>9</v>
      </c>
      <c r="I21" s="191" t="str">
        <f>IF('User input'!G23=$B$94,"No", IF('User input'!G23=$B$95,"Yes", IF('User input'!G23=$B$96,"Yes", IF('User input'!G23=$B$97,"Yes", IF('User input'!G23=$B$98,"Yes", IF('User input'!G23=$B$99,"Yes"))))))</f>
        <v>No</v>
      </c>
      <c r="J21" s="191" t="str">
        <f>IF('User input'!G23=$B$94,"No", IF('User input'!G23=$B$95,"No", IF('User input'!G23=$B$96,"No", IF('User input'!G23=$B$97,"Yes", IF('User input'!G23=$B$98,"Yes", IF('User input'!G23=$B$99,"Yes"))))))</f>
        <v>No</v>
      </c>
      <c r="K21" s="107">
        <f>IF('User input'!G23=$B$94,0, IF('User input'!G23=$B$95,G21, IF('User input'!G23=$B$96,G21+$P$5, IF('User input'!G23=$B$97,G21+G21, IF('User input'!G23=$B$98,G21+$P$5+G21, IF('User input'!G23=$B$99,G21+$P$5+G21+$P$5))))))</f>
        <v>0</v>
      </c>
      <c r="L21" s="5"/>
      <c r="M21" s="118"/>
      <c r="N21" s="118"/>
      <c r="O21" s="118"/>
      <c r="P21" s="118"/>
      <c r="Q21" s="118"/>
      <c r="R21" s="118"/>
      <c r="S21" s="118"/>
      <c r="T21" s="118"/>
      <c r="U21" s="235" t="str">
        <f>"2 quad/acre → $"&amp;V21</f>
        <v>2 quad/acre → $700</v>
      </c>
      <c r="V21" s="240">
        <f>V19*2</f>
        <v>700</v>
      </c>
      <c r="W21" s="236" t="s">
        <v>9</v>
      </c>
      <c r="X21" s="118"/>
      <c r="Y21" s="155" t="str">
        <f t="shared" si="8"/>
        <v>Farm → $0.18</v>
      </c>
      <c r="Z21" s="272">
        <v>0.18000000000000002</v>
      </c>
      <c r="AA21" s="133" t="s">
        <v>10</v>
      </c>
      <c r="AB21" s="118"/>
      <c r="AC21" s="118"/>
      <c r="AD21" s="118"/>
      <c r="AE21" s="118"/>
      <c r="AF21" s="132" t="str">
        <f t="shared" si="3"/>
        <v>Farm → $150</v>
      </c>
      <c r="AG21" s="269">
        <v>150</v>
      </c>
      <c r="AH21" s="123" t="s">
        <v>9</v>
      </c>
      <c r="AI21" s="118"/>
      <c r="AJ21" s="118"/>
      <c r="AK21" s="118"/>
      <c r="AL21" s="118"/>
      <c r="AM21" s="118"/>
      <c r="AN21" s="219" t="str">
        <f>'User input'!S27</f>
        <v>Pruning</v>
      </c>
      <c r="AO21" s="220">
        <f t="shared" si="4"/>
        <v>700</v>
      </c>
      <c r="AP21" s="118"/>
      <c r="AQ21" s="118"/>
      <c r="AR21" s="118"/>
      <c r="AS21" s="118"/>
      <c r="AT21" s="118"/>
      <c r="AU21" s="118"/>
      <c r="AV21" s="118"/>
      <c r="AW21" s="118"/>
      <c r="AX21" s="118"/>
      <c r="AY21" s="118"/>
      <c r="AZ21" s="118"/>
      <c r="BA21" s="118"/>
      <c r="BB21" s="118"/>
      <c r="BC21" s="118"/>
      <c r="BD21" s="85" t="s">
        <v>8</v>
      </c>
      <c r="BE21" s="96">
        <f>V28</f>
        <v>500</v>
      </c>
      <c r="BF21" s="145" t="s">
        <v>9</v>
      </c>
      <c r="BG21" s="146">
        <f>BI21/'User input'!$W$13</f>
        <v>7.6923076923076927E-2</v>
      </c>
      <c r="BH21" s="145" t="s">
        <v>10</v>
      </c>
      <c r="BI21" s="96">
        <f>BE21*'User input'!D9</f>
        <v>5000</v>
      </c>
      <c r="BJ21" s="145" t="s">
        <v>11</v>
      </c>
      <c r="BK21" s="147">
        <f t="shared" si="7"/>
        <v>33.783783783783782</v>
      </c>
      <c r="BL21" s="94" t="s">
        <v>16</v>
      </c>
      <c r="BM21" s="5"/>
      <c r="BN21" s="5"/>
      <c r="BO21" s="5"/>
      <c r="BP21" s="5"/>
      <c r="BQ21" s="5"/>
    </row>
    <row r="22" spans="1:69" ht="15" thickTop="1" thickBot="1" x14ac:dyDescent="0.55000000000000004">
      <c r="A22" s="5"/>
      <c r="B22" s="224" t="s">
        <v>140</v>
      </c>
      <c r="C22" s="100"/>
      <c r="D22" s="275" t="s">
        <v>172</v>
      </c>
      <c r="E22" s="204"/>
      <c r="F22" s="275" t="s">
        <v>173</v>
      </c>
      <c r="G22" s="105">
        <f t="shared" si="9"/>
        <v>0</v>
      </c>
      <c r="H22" s="106" t="s">
        <v>9</v>
      </c>
      <c r="I22" s="191" t="str">
        <f>IF('User input'!G24=$B$94,"No", IF('User input'!G24=$B$95,"Yes", IF('User input'!G24=$B$96,"Yes", IF('User input'!G24=$B$97,"Yes", IF('User input'!G24=$B$98,"Yes", IF('User input'!G24=$B$99,"Yes"))))))</f>
        <v>No</v>
      </c>
      <c r="J22" s="191" t="str">
        <f>IF('User input'!G24=$B$94,"No", IF('User input'!G24=$B$95,"No", IF('User input'!G24=$B$96,"No", IF('User input'!G24=$B$97,"Yes", IF('User input'!G24=$B$98,"Yes", IF('User input'!G24=$B$99,"Yes"))))))</f>
        <v>No</v>
      </c>
      <c r="K22" s="107">
        <f>IF('User input'!G24=$B$94,0, IF('User input'!G24=$B$95,G22, IF('User input'!G24=$B$96,G22+$P$5, IF('User input'!G24=$B$97,G22+G22, IF('User input'!G24=$B$98,G22+$P$5+G22, IF('User input'!G24=$B$99,G22+$P$5+G22+$P$5))))))</f>
        <v>0</v>
      </c>
      <c r="L22" s="5"/>
      <c r="M22" s="101" t="s">
        <v>178</v>
      </c>
      <c r="N22" s="102" t="s">
        <v>27</v>
      </c>
      <c r="O22" s="130"/>
      <c r="P22" s="102" t="s">
        <v>27</v>
      </c>
      <c r="Q22" s="103"/>
      <c r="R22" s="118"/>
      <c r="S22" s="118"/>
      <c r="T22" s="118"/>
      <c r="U22" s="235" t="str">
        <f>"3 quad/acre → $"&amp;V22</f>
        <v>3 quad/acre → $1050</v>
      </c>
      <c r="V22" s="240">
        <f>V19*3</f>
        <v>1050</v>
      </c>
      <c r="W22" s="236" t="s">
        <v>9</v>
      </c>
      <c r="X22" s="118"/>
      <c r="Y22" s="118"/>
      <c r="Z22" s="118"/>
      <c r="AA22" s="118"/>
      <c r="AB22" s="118"/>
      <c r="AC22" s="118"/>
      <c r="AD22" s="118"/>
      <c r="AE22" s="118"/>
      <c r="AF22" s="118"/>
      <c r="AG22" s="118"/>
      <c r="AH22" s="118"/>
      <c r="AI22" s="118"/>
      <c r="AJ22" s="118"/>
      <c r="AK22" s="118"/>
      <c r="AL22" s="118"/>
      <c r="AM22" s="118"/>
      <c r="AN22" s="221" t="str">
        <f>'User input'!V17</f>
        <v>Yield revenue</v>
      </c>
      <c r="AO22" s="222">
        <f>'User input'!W17</f>
        <v>52000</v>
      </c>
      <c r="AP22" s="118"/>
      <c r="AQ22" s="118"/>
      <c r="AR22" s="118"/>
      <c r="AS22" s="118"/>
      <c r="AT22" s="118"/>
      <c r="AU22" s="118"/>
      <c r="AV22" s="118"/>
      <c r="AW22" s="118"/>
      <c r="AX22" s="118"/>
      <c r="AY22" s="118"/>
      <c r="AZ22" s="118"/>
      <c r="BA22" s="118"/>
      <c r="BB22" s="118"/>
      <c r="BC22" s="118"/>
      <c r="BD22" s="85" t="s">
        <v>180</v>
      </c>
      <c r="BE22" s="96">
        <f>VLOOKUP('User input'!D31,'Price list'!Y5:Z6,2,FALSE)*'User input'!D11</f>
        <v>715</v>
      </c>
      <c r="BF22" s="145" t="s">
        <v>9</v>
      </c>
      <c r="BG22" s="146">
        <f>BI22/'User input'!$W$13</f>
        <v>0.11</v>
      </c>
      <c r="BH22" s="145" t="s">
        <v>10</v>
      </c>
      <c r="BI22" s="96">
        <f>BE22*'User input'!D9</f>
        <v>7150</v>
      </c>
      <c r="BJ22" s="145" t="s">
        <v>11</v>
      </c>
      <c r="BK22" s="147">
        <f t="shared" si="7"/>
        <v>48.310810810810814</v>
      </c>
      <c r="BL22" s="94" t="s">
        <v>16</v>
      </c>
      <c r="BM22" s="5"/>
      <c r="BN22" s="5"/>
      <c r="BO22" s="5"/>
      <c r="BP22" s="5"/>
      <c r="BQ22" s="5"/>
    </row>
    <row r="23" spans="1:69" ht="15" thickTop="1" thickBot="1" x14ac:dyDescent="0.55000000000000004">
      <c r="A23" s="5"/>
      <c r="B23" s="179" t="s">
        <v>140</v>
      </c>
      <c r="C23" s="108"/>
      <c r="D23" s="276" t="s">
        <v>172</v>
      </c>
      <c r="E23" s="109"/>
      <c r="F23" s="276" t="s">
        <v>173</v>
      </c>
      <c r="G23" s="110">
        <f t="shared" si="9"/>
        <v>0</v>
      </c>
      <c r="H23" s="111" t="s">
        <v>9</v>
      </c>
      <c r="I23" s="195" t="str">
        <f>IF('User input'!G25=$B$94,"No", IF('User input'!G25=$B$95,"Yes", IF('User input'!G25=$B$96,"Yes", IF('User input'!G25=$B$97,"Yes", IF('User input'!G25=$B$98,"Yes", IF('User input'!G25=$B$99,"Yes"))))))</f>
        <v>No</v>
      </c>
      <c r="J23" s="191" t="str">
        <f>IF('User input'!G25=$B$94,"No", IF('User input'!G25=$B$95,"No", IF('User input'!G25=$B$96,"No", IF('User input'!G25=$B$97,"Yes", IF('User input'!G25=$B$98,"Yes", IF('User input'!G25=$B$99,"Yes"))))))</f>
        <v>No</v>
      </c>
      <c r="K23" s="107">
        <f>IF('User input'!G25=$B$94,0, IF('User input'!G25=$B$95,G23, IF('User input'!G25=$B$96,G23+$P$5, IF('User input'!G25=$B$97,G23+G23, IF('User input'!G25=$B$98,G23+$P$5+G23, IF('User input'!G25=$B$99,G23+$P$5+G23+$P$5))))))</f>
        <v>0</v>
      </c>
      <c r="L23" s="5"/>
      <c r="M23" s="121" t="str">
        <f>"Contractor → $"&amp;N23</f>
        <v>Contractor → $25</v>
      </c>
      <c r="N23" s="100">
        <v>25</v>
      </c>
      <c r="O23" s="106" t="s">
        <v>9</v>
      </c>
      <c r="P23" s="122">
        <f>(VLOOKUP('User input'!D28,M23:N29,2,FALSE))*1</f>
        <v>25</v>
      </c>
      <c r="Q23" s="123" t="s">
        <v>9</v>
      </c>
      <c r="R23" s="118"/>
      <c r="S23" s="118"/>
      <c r="T23" s="118"/>
      <c r="U23" s="237" t="str">
        <f>"4 quad/acre → $"&amp;V23</f>
        <v>4 quad/acre → $1400</v>
      </c>
      <c r="V23" s="241">
        <f>V19*4</f>
        <v>1400</v>
      </c>
      <c r="W23" s="238" t="s">
        <v>9</v>
      </c>
      <c r="X23" s="118"/>
      <c r="Y23" s="101" t="s">
        <v>167</v>
      </c>
      <c r="Z23" s="102" t="s">
        <v>47</v>
      </c>
      <c r="AA23" s="102" t="s">
        <v>27</v>
      </c>
      <c r="AB23" s="102" t="s">
        <v>48</v>
      </c>
      <c r="AC23" s="102" t="s">
        <v>27</v>
      </c>
      <c r="AD23" s="138"/>
      <c r="AE23" s="118"/>
      <c r="AF23" s="101" t="s">
        <v>20</v>
      </c>
      <c r="AG23" s="102" t="s">
        <v>131</v>
      </c>
      <c r="AH23" s="13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85" t="s">
        <v>19</v>
      </c>
      <c r="BE23" s="96">
        <f>'Price list'!Z72*'User input'!W11</f>
        <v>130</v>
      </c>
      <c r="BF23" s="145" t="s">
        <v>9</v>
      </c>
      <c r="BG23" s="146">
        <f>BI23/'User input'!$W$13</f>
        <v>0.02</v>
      </c>
      <c r="BH23" s="145" t="s">
        <v>10</v>
      </c>
      <c r="BI23" s="96">
        <f>BE23*'User input'!D9</f>
        <v>1300</v>
      </c>
      <c r="BJ23" s="145" t="s">
        <v>11</v>
      </c>
      <c r="BK23" s="147">
        <f t="shared" si="7"/>
        <v>8.7837837837837842</v>
      </c>
      <c r="BL23" s="94" t="s">
        <v>16</v>
      </c>
      <c r="BM23" s="5"/>
      <c r="BN23" s="5"/>
      <c r="BO23" s="5"/>
      <c r="BP23" s="5"/>
      <c r="BQ23" s="5"/>
    </row>
    <row r="24" spans="1:69" ht="15" thickTop="1" thickBot="1" x14ac:dyDescent="0.55000000000000004">
      <c r="A24" s="5"/>
      <c r="B24" s="112"/>
      <c r="C24" s="112"/>
      <c r="D24" s="112"/>
      <c r="E24" s="112"/>
      <c r="F24" s="112"/>
      <c r="G24" s="112"/>
      <c r="H24" s="112"/>
      <c r="I24" s="112"/>
      <c r="J24" s="113" t="s">
        <v>69</v>
      </c>
      <c r="K24" s="88">
        <f>SUM(K5:K23)</f>
        <v>0</v>
      </c>
      <c r="L24" s="5"/>
      <c r="M24" s="124" t="str">
        <f t="shared" ref="M24:M29" si="10">"Farm → $"&amp;N24</f>
        <v>Farm → $15</v>
      </c>
      <c r="N24" s="205">
        <v>15</v>
      </c>
      <c r="O24" s="125" t="s">
        <v>9</v>
      </c>
      <c r="P24" s="112"/>
      <c r="Q24" s="112"/>
      <c r="R24" s="118"/>
      <c r="S24" s="118"/>
      <c r="T24" s="118"/>
      <c r="U24" s="118"/>
      <c r="V24" s="118"/>
      <c r="W24" s="118"/>
      <c r="X24" s="118"/>
      <c r="Y24" s="156" t="s">
        <v>166</v>
      </c>
      <c r="Z24" s="157">
        <v>0</v>
      </c>
      <c r="AA24" s="202">
        <v>0.37</v>
      </c>
      <c r="AB24" s="158">
        <f>'User input'!D11</f>
        <v>6500</v>
      </c>
      <c r="AC24" s="96">
        <f>VLOOKUP(AB24,Z24:AA59,2,TRUE)</f>
        <v>0.11</v>
      </c>
      <c r="AD24" s="128" t="s">
        <v>10</v>
      </c>
      <c r="AE24" s="118"/>
      <c r="AF24" s="121" t="s">
        <v>7</v>
      </c>
      <c r="AG24" s="100">
        <f>70</f>
        <v>70</v>
      </c>
      <c r="AH24" s="128" t="s">
        <v>9</v>
      </c>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85" t="s">
        <v>6</v>
      </c>
      <c r="BE24" s="96">
        <f>VLOOKUP('User input'!D35,'Price list'!AF5:AH21,2,FALSE)</f>
        <v>70</v>
      </c>
      <c r="BF24" s="145" t="s">
        <v>9</v>
      </c>
      <c r="BG24" s="146">
        <f>BI24/'User input'!$W$13</f>
        <v>1.0769230769230769E-2</v>
      </c>
      <c r="BH24" s="145" t="s">
        <v>10</v>
      </c>
      <c r="BI24" s="96">
        <f>BE24*'User input'!D9</f>
        <v>700</v>
      </c>
      <c r="BJ24" s="145" t="s">
        <v>11</v>
      </c>
      <c r="BK24" s="147">
        <f t="shared" si="7"/>
        <v>4.7297297297297298</v>
      </c>
      <c r="BL24" s="94" t="s">
        <v>16</v>
      </c>
      <c r="BM24" s="5"/>
      <c r="BN24" s="5"/>
      <c r="BO24" s="5"/>
      <c r="BP24" s="5"/>
      <c r="BQ24" s="5"/>
    </row>
    <row r="25" spans="1:69" ht="15" thickTop="1" thickBot="1" x14ac:dyDescent="0.55000000000000004">
      <c r="A25" s="5"/>
      <c r="B25" s="69"/>
      <c r="C25" s="69"/>
      <c r="D25" s="69"/>
      <c r="E25" s="69"/>
      <c r="F25" s="69"/>
      <c r="G25" s="69"/>
      <c r="H25" s="69"/>
      <c r="I25" s="69"/>
      <c r="J25" s="69"/>
      <c r="K25" s="69"/>
      <c r="L25" s="5"/>
      <c r="M25" s="126" t="str">
        <f t="shared" si="10"/>
        <v>Farm → $20</v>
      </c>
      <c r="N25" s="268">
        <v>20</v>
      </c>
      <c r="O25" s="131" t="s">
        <v>9</v>
      </c>
      <c r="P25" s="112"/>
      <c r="Q25" s="112"/>
      <c r="R25" s="118"/>
      <c r="S25" s="118"/>
      <c r="T25" s="118"/>
      <c r="U25" s="365" t="s">
        <v>164</v>
      </c>
      <c r="V25" s="368"/>
      <c r="W25" s="369"/>
      <c r="X25" s="118"/>
      <c r="Y25" s="156" t="s">
        <v>79</v>
      </c>
      <c r="Z25" s="157">
        <v>800</v>
      </c>
      <c r="AA25" s="202">
        <v>0.35</v>
      </c>
      <c r="AB25" s="106"/>
      <c r="AC25" s="106"/>
      <c r="AD25" s="128"/>
      <c r="AE25" s="118"/>
      <c r="AF25" s="121" t="s">
        <v>171</v>
      </c>
      <c r="AG25" s="100">
        <v>70</v>
      </c>
      <c r="AH25" s="128" t="s">
        <v>9</v>
      </c>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87" t="s">
        <v>36</v>
      </c>
      <c r="BE25" s="122">
        <f>SUM(BE4:BE24)</f>
        <v>1480</v>
      </c>
      <c r="BF25" s="151" t="s">
        <v>9</v>
      </c>
      <c r="BG25" s="152">
        <f>BI25/'User input'!$W$13</f>
        <v>0.22769230769230769</v>
      </c>
      <c r="BH25" s="151" t="s">
        <v>10</v>
      </c>
      <c r="BI25" s="122">
        <f>SUM(BI4:BI24)</f>
        <v>14800</v>
      </c>
      <c r="BJ25" s="151" t="s">
        <v>11</v>
      </c>
      <c r="BK25" s="153">
        <f>SUM(BK4:BK24)</f>
        <v>100</v>
      </c>
      <c r="BL25" s="154" t="s">
        <v>16</v>
      </c>
      <c r="BM25" s="5"/>
      <c r="BN25" s="5"/>
      <c r="BO25" s="5"/>
      <c r="BP25" s="5"/>
      <c r="BQ25" s="5"/>
    </row>
    <row r="26" spans="1:69" ht="14.7" thickTop="1" x14ac:dyDescent="0.5">
      <c r="A26" s="5"/>
      <c r="B26" s="101" t="s">
        <v>2</v>
      </c>
      <c r="C26" s="266" t="s">
        <v>262</v>
      </c>
      <c r="D26" s="102"/>
      <c r="E26" s="102" t="s">
        <v>1</v>
      </c>
      <c r="F26" s="102"/>
      <c r="G26" s="102" t="s">
        <v>27</v>
      </c>
      <c r="H26" s="214"/>
      <c r="I26" s="194" t="s">
        <v>77</v>
      </c>
      <c r="J26" s="194" t="s">
        <v>78</v>
      </c>
      <c r="K26" s="215"/>
      <c r="L26" s="5"/>
      <c r="M26" s="126" t="str">
        <f t="shared" si="10"/>
        <v>Farm → $25</v>
      </c>
      <c r="N26" s="268">
        <v>25</v>
      </c>
      <c r="O26" s="131" t="s">
        <v>9</v>
      </c>
      <c r="P26" s="112"/>
      <c r="Q26" s="112"/>
      <c r="R26" s="118"/>
      <c r="S26" s="118"/>
      <c r="T26" s="118"/>
      <c r="U26" s="245" t="s">
        <v>159</v>
      </c>
      <c r="V26" s="246">
        <f>VLOOKUP('User input'!D29,'Price list'!U4:W12,2,FALSE)</f>
        <v>150</v>
      </c>
      <c r="W26" s="247" t="s">
        <v>9</v>
      </c>
      <c r="X26" s="118"/>
      <c r="Y26" s="156" t="s">
        <v>80</v>
      </c>
      <c r="Z26" s="157">
        <f t="shared" ref="Z26:Z55" si="11">Z25+100</f>
        <v>900</v>
      </c>
      <c r="AA26" s="202">
        <v>0.33</v>
      </c>
      <c r="AB26" s="106"/>
      <c r="AC26" s="106"/>
      <c r="AD26" s="128"/>
      <c r="AE26" s="118"/>
      <c r="AF26" s="121" t="s">
        <v>182</v>
      </c>
      <c r="AG26" s="100">
        <v>140</v>
      </c>
      <c r="AH26" s="128" t="s">
        <v>9</v>
      </c>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5"/>
      <c r="BN26" s="5"/>
      <c r="BO26" s="5"/>
      <c r="BP26" s="5"/>
      <c r="BQ26" s="5"/>
    </row>
    <row r="27" spans="1:69" x14ac:dyDescent="0.5">
      <c r="A27" s="5"/>
      <c r="B27" s="224" t="s">
        <v>201</v>
      </c>
      <c r="C27" s="100">
        <v>100</v>
      </c>
      <c r="D27" s="275" t="s">
        <v>189</v>
      </c>
      <c r="E27" s="204">
        <v>0.8</v>
      </c>
      <c r="F27" s="275" t="s">
        <v>190</v>
      </c>
      <c r="G27" s="105">
        <f t="shared" ref="G27:G32" si="12">C27*E27</f>
        <v>80</v>
      </c>
      <c r="H27" s="104" t="s">
        <v>9</v>
      </c>
      <c r="I27" s="191" t="str">
        <f>IF('User input'!J7=$B$94,"No", IF('User input'!J7=$B$95,"Yes", IF('User input'!J7=$B$96,"Yes", IF('User input'!J7=$B$97,"Yes", IF('User input'!J7=$B$98,"Yes", IF('User input'!J7=$B$99,"Yes"))))))</f>
        <v>No</v>
      </c>
      <c r="J27" s="191" t="str">
        <f>IF('User input'!J7=$B$94,"No", IF('User input'!J7=$B$95,"No", IF('User input'!J7=$B$96,"No", IF('User input'!J7=$B$97,"Yes", IF('User input'!J7=$B$98,"Yes", IF('User input'!J7=$B$99,"Yes"))))))</f>
        <v>No</v>
      </c>
      <c r="K27" s="107">
        <f>IF('User input'!J7=$B$94,0, IF('User input'!J7=$B$95,G27, IF('User input'!J7=$B$96,G27+$P$5, IF('User input'!J7=$B$97,G27+G27, IF('User input'!J7=$B$98,G27+$P$5+G27, IF('User input'!J7=$B$99,G27+$P$5+G27+$P$5))))))</f>
        <v>0</v>
      </c>
      <c r="L27" s="5"/>
      <c r="M27" s="126" t="str">
        <f t="shared" si="10"/>
        <v>Farm → $30</v>
      </c>
      <c r="N27" s="268">
        <v>30</v>
      </c>
      <c r="O27" s="131" t="s">
        <v>9</v>
      </c>
      <c r="P27" s="112"/>
      <c r="Q27" s="112"/>
      <c r="R27" s="118"/>
      <c r="S27" s="118"/>
      <c r="T27" s="118"/>
      <c r="U27" s="231" t="s">
        <v>160</v>
      </c>
      <c r="V27" s="243">
        <f>VLOOKUP('User input'!D30,'Price list'!U15:W23,2,FALSE)</f>
        <v>350</v>
      </c>
      <c r="W27" s="232" t="s">
        <v>9</v>
      </c>
      <c r="X27" s="118"/>
      <c r="Y27" s="156" t="s">
        <v>81</v>
      </c>
      <c r="Z27" s="157">
        <f t="shared" si="11"/>
        <v>1000</v>
      </c>
      <c r="AA27" s="202">
        <v>0.31</v>
      </c>
      <c r="AB27" s="106"/>
      <c r="AC27" s="106"/>
      <c r="AD27" s="128"/>
      <c r="AE27" s="118"/>
      <c r="AF27" s="121" t="s">
        <v>183</v>
      </c>
      <c r="AG27" s="100">
        <v>120</v>
      </c>
      <c r="AH27" s="128" t="s">
        <v>9</v>
      </c>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5"/>
      <c r="BN27" s="5"/>
      <c r="BO27" s="5"/>
      <c r="BP27" s="5"/>
      <c r="BQ27" s="5"/>
    </row>
    <row r="28" spans="1:69" ht="14.7" thickBot="1" x14ac:dyDescent="0.55000000000000004">
      <c r="A28" s="5"/>
      <c r="B28" s="224" t="s">
        <v>210</v>
      </c>
      <c r="C28" s="100">
        <v>2056</v>
      </c>
      <c r="D28" s="275" t="s">
        <v>189</v>
      </c>
      <c r="E28" s="204">
        <v>1.6199999999999999E-2</v>
      </c>
      <c r="F28" s="275" t="s">
        <v>190</v>
      </c>
      <c r="G28" s="105">
        <f t="shared" si="12"/>
        <v>33.307200000000002</v>
      </c>
      <c r="H28" s="104" t="s">
        <v>9</v>
      </c>
      <c r="I28" s="191" t="str">
        <f>IF('User input'!J8=$B$94,"No", IF('User input'!J8=$B$95,"Yes", IF('User input'!J8=$B$96,"Yes", IF('User input'!J8=$B$97,"Yes", IF('User input'!J8=$B$98,"Yes", IF('User input'!J8=$B$99,"Yes"))))))</f>
        <v>No</v>
      </c>
      <c r="J28" s="191" t="str">
        <f>IF('User input'!J8=$B$94,"No", IF('User input'!J8=$B$95,"No", IF('User input'!J8=$B$96,"No", IF('User input'!J8=$B$97,"Yes", IF('User input'!J8=$B$98,"Yes", IF('User input'!J8=$B$99,"Yes"))))))</f>
        <v>No</v>
      </c>
      <c r="K28" s="107">
        <f>IF('User input'!J8=$B$94,0, IF('User input'!J8=$B$95,G28, IF('User input'!J8=$B$96,G28+$P$5, IF('User input'!J8=$B$97,G28+G28, IF('User input'!J8=$B$98,G28+$P$5+G28, IF('User input'!J8=$B$99,G28+$P$5+G28+$P$5))))))</f>
        <v>0</v>
      </c>
      <c r="L28" s="5"/>
      <c r="M28" s="126" t="str">
        <f t="shared" si="10"/>
        <v>Farm → $35</v>
      </c>
      <c r="N28" s="268">
        <v>35</v>
      </c>
      <c r="O28" s="131" t="s">
        <v>9</v>
      </c>
      <c r="P28" s="112"/>
      <c r="Q28" s="112"/>
      <c r="R28" s="118"/>
      <c r="S28" s="118"/>
      <c r="T28" s="118"/>
      <c r="U28" s="233" t="s">
        <v>36</v>
      </c>
      <c r="V28" s="244">
        <f>SUM(V26:V27)</f>
        <v>500</v>
      </c>
      <c r="W28" s="234" t="s">
        <v>9</v>
      </c>
      <c r="X28" s="118"/>
      <c r="Y28" s="156" t="s">
        <v>82</v>
      </c>
      <c r="Z28" s="157">
        <f t="shared" si="11"/>
        <v>1100</v>
      </c>
      <c r="AA28" s="202">
        <v>0.28999999999999998</v>
      </c>
      <c r="AB28" s="106"/>
      <c r="AC28" s="106"/>
      <c r="AD28" s="128"/>
      <c r="AE28" s="118"/>
      <c r="AF28" s="121" t="s">
        <v>184</v>
      </c>
      <c r="AG28" s="100">
        <v>260</v>
      </c>
      <c r="AH28" s="128" t="s">
        <v>9</v>
      </c>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5"/>
      <c r="BN28" s="5"/>
      <c r="BO28" s="5"/>
      <c r="BP28" s="5"/>
      <c r="BQ28" s="5"/>
    </row>
    <row r="29" spans="1:69" ht="15" thickTop="1" thickBot="1" x14ac:dyDescent="0.55000000000000004">
      <c r="A29" s="5"/>
      <c r="B29" s="224" t="s">
        <v>251</v>
      </c>
      <c r="C29" s="100">
        <v>1580</v>
      </c>
      <c r="D29" s="275" t="s">
        <v>189</v>
      </c>
      <c r="E29" s="204">
        <v>1.3599999999999999E-2</v>
      </c>
      <c r="F29" s="275" t="s">
        <v>190</v>
      </c>
      <c r="G29" s="105">
        <f t="shared" si="12"/>
        <v>21.488</v>
      </c>
      <c r="H29" s="104" t="s">
        <v>9</v>
      </c>
      <c r="I29" s="191" t="str">
        <f>IF('User input'!J9=$B$94,"No", IF('User input'!J9=$B$95,"Yes", IF('User input'!J9=$B$96,"Yes", IF('User input'!J9=$B$97,"Yes", IF('User input'!J9=$B$98,"Yes", IF('User input'!J9=$B$99,"Yes"))))))</f>
        <v>No</v>
      </c>
      <c r="J29" s="191" t="str">
        <f>IF('User input'!J9=$B$94,"No", IF('User input'!J9=$B$95,"No", IF('User input'!J9=$B$96,"No", IF('User input'!J9=$B$97,"Yes", IF('User input'!J9=$B$98,"Yes", IF('User input'!J9=$B$99,"Yes"))))))</f>
        <v>No</v>
      </c>
      <c r="K29" s="107">
        <f>IF('User input'!J9=$B$94,0, IF('User input'!J9=$B$95,G29, IF('User input'!J9=$B$96,G29+$P$5, IF('User input'!J9=$B$97,G29+G29, IF('User input'!J9=$B$98,G29+$P$5+G29, IF('User input'!J9=$B$99,G29+$P$5+G29+$P$5))))))</f>
        <v>0</v>
      </c>
      <c r="L29" s="5"/>
      <c r="M29" s="132" t="str">
        <f t="shared" si="10"/>
        <v>Farm → $40</v>
      </c>
      <c r="N29" s="269">
        <v>40</v>
      </c>
      <c r="O29" s="133" t="s">
        <v>9</v>
      </c>
      <c r="P29" s="112"/>
      <c r="Q29" s="112"/>
      <c r="R29" s="118"/>
      <c r="S29" s="118"/>
      <c r="T29" s="118"/>
      <c r="U29" s="118"/>
      <c r="V29" s="118"/>
      <c r="W29" s="118"/>
      <c r="X29" s="118"/>
      <c r="Y29" s="156" t="s">
        <v>83</v>
      </c>
      <c r="Z29" s="157">
        <f t="shared" si="11"/>
        <v>1200</v>
      </c>
      <c r="AA29" s="202">
        <v>0.27</v>
      </c>
      <c r="AB29" s="106"/>
      <c r="AC29" s="106"/>
      <c r="AD29" s="128"/>
      <c r="AE29" s="118"/>
      <c r="AF29" s="124" t="s">
        <v>28</v>
      </c>
      <c r="AG29" s="205">
        <v>260</v>
      </c>
      <c r="AH29" s="125" t="s">
        <v>9</v>
      </c>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5"/>
      <c r="BN29" s="5"/>
      <c r="BO29" s="5"/>
      <c r="BP29" s="5"/>
      <c r="BQ29" s="5"/>
    </row>
    <row r="30" spans="1:69" ht="15" thickTop="1" thickBot="1" x14ac:dyDescent="0.55000000000000004">
      <c r="A30" s="5"/>
      <c r="B30" s="224" t="s">
        <v>59</v>
      </c>
      <c r="C30" s="100">
        <v>153</v>
      </c>
      <c r="D30" s="275" t="s">
        <v>189</v>
      </c>
      <c r="E30" s="204">
        <v>0.81</v>
      </c>
      <c r="F30" s="275" t="s">
        <v>190</v>
      </c>
      <c r="G30" s="105">
        <f t="shared" si="12"/>
        <v>123.93</v>
      </c>
      <c r="H30" s="104" t="s">
        <v>9</v>
      </c>
      <c r="I30" s="191" t="str">
        <f>IF('User input'!J10=$B$94,"No", IF('User input'!J10=$B$95,"Yes", IF('User input'!J10=$B$96,"Yes", IF('User input'!J10=$B$97,"Yes", IF('User input'!J10=$B$98,"Yes", IF('User input'!J10=$B$99,"Yes"))))))</f>
        <v>No</v>
      </c>
      <c r="J30" s="191" t="str">
        <f>IF('User input'!J10=$B$94,"No", IF('User input'!J10=$B$95,"No", IF('User input'!J10=$B$96,"No", IF('User input'!J10=$B$97,"Yes", IF('User input'!J10=$B$98,"Yes", IF('User input'!J10=$B$99,"Yes"))))))</f>
        <v>No</v>
      </c>
      <c r="K30" s="107">
        <f>IF('User input'!J10=$B$94,0, IF('User input'!J10=$B$95,G30, IF('User input'!J10=$B$96,G30+$P$5, IF('User input'!J10=$B$97,G30+G30, IF('User input'!J10=$B$98,G30+$P$5+G30, IF('User input'!J10=$B$99,G30+$P$5+G30+$P$5))))))</f>
        <v>0</v>
      </c>
      <c r="L30" s="5"/>
      <c r="M30" s="118"/>
      <c r="N30" s="118"/>
      <c r="O30" s="118"/>
      <c r="P30" s="118"/>
      <c r="Q30" s="118"/>
      <c r="R30" s="118"/>
      <c r="S30" s="118"/>
      <c r="T30" s="118"/>
      <c r="U30" s="118"/>
      <c r="V30" s="118"/>
      <c r="W30" s="118"/>
      <c r="X30" s="118"/>
      <c r="Y30" s="156" t="s">
        <v>84</v>
      </c>
      <c r="Z30" s="157">
        <f t="shared" si="11"/>
        <v>1300</v>
      </c>
      <c r="AA30" s="202">
        <v>0.25</v>
      </c>
      <c r="AB30" s="106"/>
      <c r="AC30" s="106"/>
      <c r="AD30" s="128"/>
      <c r="AE30" s="118"/>
      <c r="AF30" s="127" t="s">
        <v>140</v>
      </c>
      <c r="AG30" s="108">
        <v>0</v>
      </c>
      <c r="AH30" s="123" t="s">
        <v>9</v>
      </c>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5"/>
      <c r="BN30" s="5"/>
      <c r="BO30" s="5"/>
      <c r="BP30" s="5"/>
      <c r="BQ30" s="5"/>
    </row>
    <row r="31" spans="1:69" ht="14.7" thickTop="1" x14ac:dyDescent="0.5">
      <c r="A31" s="5"/>
      <c r="B31" s="224" t="s">
        <v>202</v>
      </c>
      <c r="C31" s="100">
        <v>35</v>
      </c>
      <c r="D31" s="275" t="s">
        <v>195</v>
      </c>
      <c r="E31" s="204">
        <v>0.8</v>
      </c>
      <c r="F31" s="275" t="s">
        <v>196</v>
      </c>
      <c r="G31" s="105">
        <f t="shared" si="12"/>
        <v>28</v>
      </c>
      <c r="H31" s="104" t="s">
        <v>9</v>
      </c>
      <c r="I31" s="191" t="str">
        <f>IF('User input'!J11=$B$94,"No", IF('User input'!J11=$B$95,"Yes", IF('User input'!J11=$B$96,"Yes", IF('User input'!J11=$B$97,"Yes", IF('User input'!J11=$B$98,"Yes", IF('User input'!J11=$B$99,"Yes"))))))</f>
        <v>No</v>
      </c>
      <c r="J31" s="191" t="str">
        <f>IF('User input'!J11=$B$94,"No", IF('User input'!J11=$B$95,"No", IF('User input'!J11=$B$96,"No", IF('User input'!J11=$B$97,"Yes", IF('User input'!J11=$B$98,"Yes", IF('User input'!J11=$B$99,"Yes"))))))</f>
        <v>No</v>
      </c>
      <c r="K31" s="107">
        <f>IF('User input'!J11=$B$94,0, IF('User input'!J11=$B$95,G31, IF('User input'!J11=$B$96,G31+$P$5, IF('User input'!J11=$B$97,G31+G31, IF('User input'!J11=$B$98,G31+$P$5+G31, IF('User input'!J11=$B$99,G31+$P$5+G31+$P$5))))))</f>
        <v>0</v>
      </c>
      <c r="L31" s="5"/>
      <c r="M31" s="101" t="s">
        <v>43</v>
      </c>
      <c r="N31" s="102" t="s">
        <v>44</v>
      </c>
      <c r="O31" s="130"/>
      <c r="P31" s="102" t="s">
        <v>38</v>
      </c>
      <c r="Q31" s="130"/>
      <c r="R31" s="102" t="s">
        <v>45</v>
      </c>
      <c r="S31" s="103"/>
      <c r="T31" s="118"/>
      <c r="U31" s="118"/>
      <c r="V31" s="118"/>
      <c r="W31" s="118"/>
      <c r="X31" s="118"/>
      <c r="Y31" s="156" t="s">
        <v>85</v>
      </c>
      <c r="Z31" s="157">
        <f t="shared" si="11"/>
        <v>1400</v>
      </c>
      <c r="AA31" s="202">
        <v>0.23</v>
      </c>
      <c r="AB31" s="106"/>
      <c r="AC31" s="106"/>
      <c r="AD31" s="12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5"/>
      <c r="BN31" s="5"/>
      <c r="BO31" s="5"/>
      <c r="BP31" s="5"/>
      <c r="BQ31" s="5"/>
    </row>
    <row r="32" spans="1:69" ht="14.7" thickBot="1" x14ac:dyDescent="0.55000000000000004">
      <c r="A32" s="5"/>
      <c r="B32" s="224" t="s">
        <v>203</v>
      </c>
      <c r="C32" s="100">
        <v>76</v>
      </c>
      <c r="D32" s="275" t="s">
        <v>195</v>
      </c>
      <c r="E32" s="204">
        <v>0.45500000000000002</v>
      </c>
      <c r="F32" s="275" t="s">
        <v>196</v>
      </c>
      <c r="G32" s="105">
        <f t="shared" si="12"/>
        <v>34.58</v>
      </c>
      <c r="H32" s="104" t="s">
        <v>9</v>
      </c>
      <c r="I32" s="191" t="str">
        <f>IF('User input'!J12=$B$94,"No", IF('User input'!J12=$B$95,"Yes", IF('User input'!J12=$B$96,"Yes", IF('User input'!J12=$B$97,"Yes", IF('User input'!J12=$B$98,"Yes", IF('User input'!J12=$B$99,"Yes"))))))</f>
        <v>No</v>
      </c>
      <c r="J32" s="191" t="str">
        <f>IF('User input'!J12=$B$94,"No", IF('User input'!J12=$B$95,"No", IF('User input'!J12=$B$96,"No", IF('User input'!J12=$B$97,"Yes", IF('User input'!J12=$B$98,"Yes", IF('User input'!J12=$B$99,"Yes"))))))</f>
        <v>No</v>
      </c>
      <c r="K32" s="107">
        <f>IF('User input'!J12=$B$94,0, IF('User input'!J12=$B$95,G32, IF('User input'!J12=$B$96,G32+$P$5, IF('User input'!J12=$B$97,G32+G32, IF('User input'!J12=$B$98,G32+$P$5+G32, IF('User input'!J12=$B$99,G32+$P$5+G32+$P$5))))))</f>
        <v>0</v>
      </c>
      <c r="L32" s="5"/>
      <c r="M32" s="127" t="s">
        <v>30</v>
      </c>
      <c r="N32" s="129">
        <f>0</f>
        <v>0</v>
      </c>
      <c r="O32" s="111" t="s">
        <v>9</v>
      </c>
      <c r="P32" s="129">
        <f>(VLOOKUP('User input'!D28,M23:N29,2,FALSE))*0</f>
        <v>0</v>
      </c>
      <c r="Q32" s="111" t="s">
        <v>9</v>
      </c>
      <c r="R32" s="122">
        <f>N32+P32</f>
        <v>0</v>
      </c>
      <c r="S32" s="123" t="s">
        <v>9</v>
      </c>
      <c r="T32" s="118"/>
      <c r="U32" s="118"/>
      <c r="V32" s="118"/>
      <c r="W32" s="118"/>
      <c r="X32" s="118"/>
      <c r="Y32" s="156" t="s">
        <v>86</v>
      </c>
      <c r="Z32" s="157">
        <f t="shared" si="11"/>
        <v>1500</v>
      </c>
      <c r="AA32" s="202">
        <v>0.215</v>
      </c>
      <c r="AB32" s="106"/>
      <c r="AC32" s="106"/>
      <c r="AD32" s="12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5"/>
      <c r="BN32" s="5"/>
      <c r="BO32" s="5"/>
      <c r="BP32" s="5"/>
      <c r="BQ32" s="5"/>
    </row>
    <row r="33" spans="1:69" ht="15" thickTop="1" thickBot="1" x14ac:dyDescent="0.55000000000000004">
      <c r="A33" s="5"/>
      <c r="B33" s="224" t="s">
        <v>204</v>
      </c>
      <c r="C33" s="100">
        <v>7.4</v>
      </c>
      <c r="D33" s="275" t="s">
        <v>195</v>
      </c>
      <c r="E33" s="204">
        <v>0.8</v>
      </c>
      <c r="F33" s="275" t="s">
        <v>196</v>
      </c>
      <c r="G33" s="105">
        <f t="shared" ref="G33:G34" si="13">C33*E33</f>
        <v>5.9200000000000008</v>
      </c>
      <c r="H33" s="104" t="s">
        <v>9</v>
      </c>
      <c r="I33" s="191" t="str">
        <f>IF('User input'!J13=$B$94,"No", IF('User input'!J13=$B$95,"Yes", IF('User input'!J13=$B$96,"Yes", IF('User input'!J13=$B$97,"Yes", IF('User input'!J13=$B$98,"Yes", IF('User input'!J13=$B$99,"Yes"))))))</f>
        <v>No</v>
      </c>
      <c r="J33" s="191" t="str">
        <f>IF('User input'!J13=$B$94,"No", IF('User input'!J13=$B$95,"No", IF('User input'!J13=$B$96,"No", IF('User input'!J13=$B$97,"Yes", IF('User input'!J13=$B$98,"Yes", IF('User input'!J13=$B$99,"Yes"))))))</f>
        <v>No</v>
      </c>
      <c r="K33" s="107">
        <f>IF('User input'!J13=$B$94,0, IF('User input'!J13=$B$95,G33, IF('User input'!J13=$B$96,G33+$P$5, IF('User input'!J13=$B$97,G33+G33, IF('User input'!J13=$B$98,G33+$P$5+G33, IF('User input'!J13=$B$99,G33+$P$5+G33+$P$5))))))</f>
        <v>0</v>
      </c>
      <c r="L33" s="5"/>
      <c r="M33" s="118"/>
      <c r="N33" s="118"/>
      <c r="O33" s="118"/>
      <c r="P33" s="118"/>
      <c r="Q33" s="118"/>
      <c r="R33" s="118"/>
      <c r="S33" s="118"/>
      <c r="T33" s="118"/>
      <c r="U33" s="118"/>
      <c r="V33" s="118"/>
      <c r="W33" s="118"/>
      <c r="X33" s="118"/>
      <c r="Y33" s="156" t="s">
        <v>87</v>
      </c>
      <c r="Z33" s="157">
        <f t="shared" si="11"/>
        <v>1600</v>
      </c>
      <c r="AA33" s="202">
        <v>0.2</v>
      </c>
      <c r="AB33" s="106"/>
      <c r="AC33" s="106"/>
      <c r="AD33" s="12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5"/>
      <c r="BN33" s="5"/>
      <c r="BO33" s="5"/>
      <c r="BP33" s="5"/>
      <c r="BQ33" s="5"/>
    </row>
    <row r="34" spans="1:69" ht="14.7" thickTop="1" x14ac:dyDescent="0.5">
      <c r="A34" s="5"/>
      <c r="B34" s="224" t="s">
        <v>205</v>
      </c>
      <c r="C34" s="100">
        <v>35.700000000000003</v>
      </c>
      <c r="D34" s="275" t="s">
        <v>195</v>
      </c>
      <c r="E34" s="204">
        <v>0.63</v>
      </c>
      <c r="F34" s="275" t="s">
        <v>196</v>
      </c>
      <c r="G34" s="105">
        <f t="shared" si="13"/>
        <v>22.491000000000003</v>
      </c>
      <c r="H34" s="104" t="s">
        <v>9</v>
      </c>
      <c r="I34" s="191" t="str">
        <f>IF('User input'!J14=$B$94,"No", IF('User input'!J14=$B$95,"Yes", IF('User input'!J14=$B$96,"Yes", IF('User input'!J14=$B$97,"Yes", IF('User input'!J14=$B$98,"Yes", IF('User input'!J14=$B$99,"Yes"))))))</f>
        <v>No</v>
      </c>
      <c r="J34" s="191" t="str">
        <f>IF('User input'!J14=$B$94,"No", IF('User input'!J14=$B$95,"No", IF('User input'!J14=$B$96,"No", IF('User input'!J14=$B$97,"Yes", IF('User input'!J14=$B$98,"Yes", IF('User input'!J14=$B$99,"Yes"))))))</f>
        <v>No</v>
      </c>
      <c r="K34" s="107">
        <f>IF('User input'!J14=$B$94,0, IF('User input'!J14=$B$95,G34, IF('User input'!J14=$B$96,G34+$P$5, IF('User input'!J14=$B$97,G34+G34, IF('User input'!J14=$B$98,G34+$P$5+G34, IF('User input'!J14=$B$99,G34+$P$5+G34+$P$5))))))</f>
        <v>0</v>
      </c>
      <c r="L34" s="5"/>
      <c r="M34" s="101" t="s">
        <v>114</v>
      </c>
      <c r="N34" s="102" t="s">
        <v>27</v>
      </c>
      <c r="O34" s="102"/>
      <c r="P34" s="102" t="s">
        <v>27</v>
      </c>
      <c r="Q34" s="134"/>
      <c r="R34" s="118"/>
      <c r="S34" s="118"/>
      <c r="T34" s="118"/>
      <c r="U34" s="118"/>
      <c r="V34" s="118"/>
      <c r="W34" s="118"/>
      <c r="X34" s="118"/>
      <c r="Y34" s="156" t="s">
        <v>88</v>
      </c>
      <c r="Z34" s="157">
        <f t="shared" si="11"/>
        <v>1700</v>
      </c>
      <c r="AA34" s="202">
        <v>0.185</v>
      </c>
      <c r="AB34" s="106"/>
      <c r="AC34" s="106"/>
      <c r="AD34" s="12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5"/>
      <c r="BN34" s="5"/>
      <c r="BO34" s="5"/>
      <c r="BP34" s="5"/>
      <c r="BQ34" s="5"/>
    </row>
    <row r="35" spans="1:69" ht="14.7" thickBot="1" x14ac:dyDescent="0.55000000000000004">
      <c r="A35" s="5"/>
      <c r="B35" s="224" t="s">
        <v>206</v>
      </c>
      <c r="C35" s="100">
        <v>3</v>
      </c>
      <c r="D35" s="275" t="s">
        <v>195</v>
      </c>
      <c r="E35" s="204">
        <v>0.63</v>
      </c>
      <c r="F35" s="275" t="s">
        <v>196</v>
      </c>
      <c r="G35" s="105">
        <f t="shared" ref="G35:G41" si="14">C35*E35</f>
        <v>1.8900000000000001</v>
      </c>
      <c r="H35" s="104" t="s">
        <v>9</v>
      </c>
      <c r="I35" s="191" t="str">
        <f>IF('User input'!J15=$B$94,"No", IF('User input'!J15=$B$95,"Yes", IF('User input'!J15=$B$96,"Yes", IF('User input'!J15=$B$97,"Yes", IF('User input'!J15=$B$98,"Yes", IF('User input'!J15=$B$99,"Yes"))))))</f>
        <v>No</v>
      </c>
      <c r="J35" s="191" t="str">
        <f>IF('User input'!J15=$B$94,"No", IF('User input'!J15=$B$95,"No", IF('User input'!J15=$B$96,"No", IF('User input'!J15=$B$97,"Yes", IF('User input'!J15=$B$98,"Yes", IF('User input'!J15=$B$99,"Yes"))))))</f>
        <v>No</v>
      </c>
      <c r="K35" s="107">
        <f>IF('User input'!J15=$B$94,0, IF('User input'!J15=$B$95,G35, IF('User input'!J15=$B$96,G35+$P$5, IF('User input'!J15=$B$97,G35+G35, IF('User input'!J15=$B$98,G35+$P$5+G35, IF('User input'!J15=$B$99,G35+$P$5+G35+$P$5))))))</f>
        <v>0</v>
      </c>
      <c r="L35" s="69"/>
      <c r="M35" s="127" t="s">
        <v>53</v>
      </c>
      <c r="N35" s="122">
        <f>R14+R17+R20+R32+BE4+BE5+BE9+BE10+BE11+BE12+BE13+BE21+BE22+BE23+BE24</f>
        <v>1480</v>
      </c>
      <c r="O35" s="135" t="s">
        <v>9</v>
      </c>
      <c r="P35" s="267">
        <f>N35*'User input'!$D$9</f>
        <v>14800</v>
      </c>
      <c r="Q35" s="123" t="s">
        <v>11</v>
      </c>
      <c r="R35" s="118"/>
      <c r="S35" s="118"/>
      <c r="T35" s="118"/>
      <c r="U35" s="118"/>
      <c r="V35" s="118"/>
      <c r="W35" s="118"/>
      <c r="X35" s="118"/>
      <c r="Y35" s="156" t="s">
        <v>89</v>
      </c>
      <c r="Z35" s="157">
        <f t="shared" si="11"/>
        <v>1800</v>
      </c>
      <c r="AA35" s="202">
        <v>0.17499999999999999</v>
      </c>
      <c r="AB35" s="106"/>
      <c r="AC35" s="106"/>
      <c r="AD35" s="12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5"/>
      <c r="BN35" s="5"/>
      <c r="BO35" s="5"/>
      <c r="BP35" s="5"/>
      <c r="BQ35" s="5"/>
    </row>
    <row r="36" spans="1:69" ht="14.7" thickTop="1" x14ac:dyDescent="0.5">
      <c r="A36" s="5"/>
      <c r="B36" s="224" t="s">
        <v>207</v>
      </c>
      <c r="C36" s="100">
        <v>109</v>
      </c>
      <c r="D36" s="275" t="s">
        <v>195</v>
      </c>
      <c r="E36" s="204">
        <v>0.12</v>
      </c>
      <c r="F36" s="275" t="s">
        <v>196</v>
      </c>
      <c r="G36" s="105">
        <f t="shared" si="14"/>
        <v>13.08</v>
      </c>
      <c r="H36" s="104" t="s">
        <v>9</v>
      </c>
      <c r="I36" s="191" t="str">
        <f>IF('User input'!J16=$B$94,"No", IF('User input'!J16=$B$95,"Yes", IF('User input'!J16=$B$96,"Yes", IF('User input'!J16=$B$97,"Yes", IF('User input'!J16=$B$98,"Yes", IF('User input'!J16=$B$99,"Yes"))))))</f>
        <v>No</v>
      </c>
      <c r="J36" s="191" t="str">
        <f>IF('User input'!J16=$B$94,"No", IF('User input'!J16=$B$95,"No", IF('User input'!J16=$B$96,"No", IF('User input'!J16=$B$97,"Yes", IF('User input'!J16=$B$98,"Yes", IF('User input'!J16=$B$99,"Yes"))))))</f>
        <v>No</v>
      </c>
      <c r="K36" s="107">
        <f>IF('User input'!J16=$B$94,0, IF('User input'!J16=$B$95,G36, IF('User input'!J16=$B$96,G36+$P$5, IF('User input'!J16=$B$97,G36+G36, IF('User input'!J16=$B$98,G36+$P$5+G36, IF('User input'!J16=$B$99,G36+$P$5+G36+$P$5))))))</f>
        <v>0</v>
      </c>
      <c r="L36" s="5"/>
      <c r="M36" s="118"/>
      <c r="N36" s="118"/>
      <c r="O36" s="118"/>
      <c r="P36" s="118"/>
      <c r="Q36" s="118"/>
      <c r="R36" s="118"/>
      <c r="S36" s="118"/>
      <c r="T36" s="118"/>
      <c r="U36" s="118"/>
      <c r="V36" s="118"/>
      <c r="W36" s="118"/>
      <c r="X36" s="118"/>
      <c r="Y36" s="156" t="s">
        <v>90</v>
      </c>
      <c r="Z36" s="157">
        <f t="shared" si="11"/>
        <v>1900</v>
      </c>
      <c r="AA36" s="202">
        <v>0.17</v>
      </c>
      <c r="AB36" s="106"/>
      <c r="AC36" s="106"/>
      <c r="AD36" s="12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5"/>
      <c r="BN36" s="5"/>
      <c r="BO36" s="5"/>
      <c r="BP36" s="5"/>
      <c r="BQ36" s="5"/>
    </row>
    <row r="37" spans="1:69" x14ac:dyDescent="0.5">
      <c r="A37" s="5"/>
      <c r="B37" s="224" t="s">
        <v>60</v>
      </c>
      <c r="C37" s="100">
        <v>92</v>
      </c>
      <c r="D37" s="275" t="s">
        <v>195</v>
      </c>
      <c r="E37" s="204">
        <v>1.8</v>
      </c>
      <c r="F37" s="275" t="s">
        <v>196</v>
      </c>
      <c r="G37" s="105">
        <f t="shared" si="14"/>
        <v>165.6</v>
      </c>
      <c r="H37" s="104" t="s">
        <v>9</v>
      </c>
      <c r="I37" s="191" t="str">
        <f>IF('User input'!J17=$B$94,"No", IF('User input'!J17=$B$95,"Yes", IF('User input'!J17=$B$96,"Yes", IF('User input'!J17=$B$97,"Yes", IF('User input'!J17=$B$98,"Yes", IF('User input'!J17=$B$99,"Yes"))))))</f>
        <v>No</v>
      </c>
      <c r="J37" s="191" t="str">
        <f>IF('User input'!J17=$B$94,"No", IF('User input'!J17=$B$95,"No", IF('User input'!J17=$B$96,"No", IF('User input'!J17=$B$97,"Yes", IF('User input'!J17=$B$98,"Yes", IF('User input'!J17=$B$99,"Yes"))))))</f>
        <v>No</v>
      </c>
      <c r="K37" s="107">
        <f>IF('User input'!J17=$B$94,0, IF('User input'!J17=$B$95,G37, IF('User input'!J17=$B$96,G37+$P$5, IF('User input'!J17=$B$97,G37+G37, IF('User input'!J17=$B$98,G37+$P$5+G37, IF('User input'!J17=$B$99,G37+$P$5+G37+$P$5))))))</f>
        <v>0</v>
      </c>
      <c r="L37" s="5"/>
      <c r="M37" s="118"/>
      <c r="N37" s="118"/>
      <c r="O37" s="118"/>
      <c r="P37" s="118"/>
      <c r="Q37" s="118"/>
      <c r="R37" s="118"/>
      <c r="S37" s="118"/>
      <c r="T37" s="118"/>
      <c r="U37" s="118"/>
      <c r="V37" s="118"/>
      <c r="W37" s="118"/>
      <c r="X37" s="118"/>
      <c r="Y37" s="156" t="s">
        <v>91</v>
      </c>
      <c r="Z37" s="157">
        <f t="shared" si="11"/>
        <v>2000</v>
      </c>
      <c r="AA37" s="202">
        <v>0.16500000000000001</v>
      </c>
      <c r="AB37" s="106"/>
      <c r="AC37" s="106"/>
      <c r="AD37" s="12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5"/>
      <c r="BN37" s="5"/>
      <c r="BO37" s="5"/>
      <c r="BP37" s="5"/>
      <c r="BQ37" s="5"/>
    </row>
    <row r="38" spans="1:69" x14ac:dyDescent="0.5">
      <c r="A38" s="5"/>
      <c r="B38" s="224" t="s">
        <v>208</v>
      </c>
      <c r="C38" s="100">
        <v>421</v>
      </c>
      <c r="D38" s="275" t="s">
        <v>189</v>
      </c>
      <c r="E38" s="204">
        <v>0.17</v>
      </c>
      <c r="F38" s="275" t="s">
        <v>190</v>
      </c>
      <c r="G38" s="105">
        <f t="shared" si="14"/>
        <v>71.570000000000007</v>
      </c>
      <c r="H38" s="104" t="s">
        <v>9</v>
      </c>
      <c r="I38" s="191" t="str">
        <f>IF('User input'!J18=$B$94,"No", IF('User input'!J18=$B$95,"Yes", IF('User input'!J18=$B$96,"Yes", IF('User input'!J18=$B$97,"Yes", IF('User input'!J18=$B$98,"Yes", IF('User input'!J18=$B$99,"Yes"))))))</f>
        <v>No</v>
      </c>
      <c r="J38" s="191" t="str">
        <f>IF('User input'!J18=$B$94,"No", IF('User input'!J18=$B$95,"No", IF('User input'!J18=$B$96,"No", IF('User input'!J18=$B$97,"Yes", IF('User input'!J18=$B$98,"Yes", IF('User input'!J18=$B$99,"Yes"))))))</f>
        <v>No</v>
      </c>
      <c r="K38" s="107">
        <f>IF('User input'!J18=$B$94,0, IF('User input'!J18=$B$95,G38, IF('User input'!J18=$B$96,G38+$P$5, IF('User input'!J18=$B$97,G38+G38, IF('User input'!J18=$B$98,G38+$P$5+G38, IF('User input'!J18=$B$99,G38+$P$5+G38+$P$5))))))</f>
        <v>0</v>
      </c>
      <c r="L38" s="5"/>
      <c r="M38" s="5"/>
      <c r="N38" s="5"/>
      <c r="O38" s="118"/>
      <c r="P38" s="118"/>
      <c r="Q38" s="118"/>
      <c r="R38" s="118"/>
      <c r="S38" s="118"/>
      <c r="T38" s="118"/>
      <c r="U38" s="118"/>
      <c r="V38" s="118"/>
      <c r="W38" s="118"/>
      <c r="X38" s="118"/>
      <c r="Y38" s="156" t="s">
        <v>92</v>
      </c>
      <c r="Z38" s="157">
        <f t="shared" si="11"/>
        <v>2100</v>
      </c>
      <c r="AA38" s="202">
        <v>0.16250000000000001</v>
      </c>
      <c r="AB38" s="106"/>
      <c r="AC38" s="106"/>
      <c r="AD38" s="12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5"/>
      <c r="BN38" s="5"/>
      <c r="BO38" s="5"/>
      <c r="BP38" s="5"/>
      <c r="BQ38" s="5"/>
    </row>
    <row r="39" spans="1:69" x14ac:dyDescent="0.5">
      <c r="A39" s="5"/>
      <c r="B39" s="224" t="s">
        <v>209</v>
      </c>
      <c r="C39" s="100">
        <v>18</v>
      </c>
      <c r="D39" s="275" t="s">
        <v>195</v>
      </c>
      <c r="E39" s="204">
        <v>2</v>
      </c>
      <c r="F39" s="275" t="s">
        <v>196</v>
      </c>
      <c r="G39" s="105">
        <f t="shared" si="14"/>
        <v>36</v>
      </c>
      <c r="H39" s="104" t="s">
        <v>9</v>
      </c>
      <c r="I39" s="191" t="str">
        <f>IF('User input'!J19=$B$94,"No", IF('User input'!J19=$B$95,"Yes", IF('User input'!J19=$B$96,"Yes", IF('User input'!J19=$B$97,"Yes", IF('User input'!J19=$B$98,"Yes", IF('User input'!J19=$B$99,"Yes"))))))</f>
        <v>No</v>
      </c>
      <c r="J39" s="191" t="str">
        <f>IF('User input'!J19=$B$94,"No", IF('User input'!J19=$B$95,"No", IF('User input'!J19=$B$96,"No", IF('User input'!J19=$B$97,"Yes", IF('User input'!J19=$B$98,"Yes", IF('User input'!J19=$B$99,"Yes"))))))</f>
        <v>No</v>
      </c>
      <c r="K39" s="107">
        <f>IF('User input'!J19=$B$94,0, IF('User input'!J19=$B$95,G39, IF('User input'!J19=$B$96,G39+$P$5, IF('User input'!J19=$B$97,G39+G39, IF('User input'!J19=$B$98,G39+$P$5+G39, IF('User input'!J19=$B$99,G39+$P$5+G39+$P$5))))))</f>
        <v>0</v>
      </c>
      <c r="L39" s="5"/>
      <c r="M39" s="5"/>
      <c r="N39" s="5"/>
      <c r="O39" s="118"/>
      <c r="P39" s="118"/>
      <c r="Q39" s="118"/>
      <c r="R39" s="118"/>
      <c r="S39" s="118"/>
      <c r="T39" s="118"/>
      <c r="U39" s="118"/>
      <c r="V39" s="118"/>
      <c r="W39" s="118"/>
      <c r="X39" s="118"/>
      <c r="Y39" s="156" t="s">
        <v>93</v>
      </c>
      <c r="Z39" s="157">
        <f t="shared" si="11"/>
        <v>2200</v>
      </c>
      <c r="AA39" s="202">
        <v>0.16</v>
      </c>
      <c r="AB39" s="106"/>
      <c r="AC39" s="106"/>
      <c r="AD39" s="12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5"/>
      <c r="BN39" s="5"/>
      <c r="BO39" s="5"/>
      <c r="BP39" s="5"/>
      <c r="BQ39" s="5"/>
    </row>
    <row r="40" spans="1:69" x14ac:dyDescent="0.5">
      <c r="A40" s="5"/>
      <c r="B40" s="224" t="s">
        <v>211</v>
      </c>
      <c r="C40" s="100">
        <v>170</v>
      </c>
      <c r="D40" s="275" t="s">
        <v>195</v>
      </c>
      <c r="E40" s="204">
        <v>0.1182</v>
      </c>
      <c r="F40" s="275" t="s">
        <v>196</v>
      </c>
      <c r="G40" s="105">
        <f t="shared" si="14"/>
        <v>20.094000000000001</v>
      </c>
      <c r="H40" s="104" t="s">
        <v>9</v>
      </c>
      <c r="I40" s="191" t="str">
        <f>IF('User input'!J20=$B$94,"No", IF('User input'!J20=$B$95,"Yes", IF('User input'!J20=$B$96,"Yes", IF('User input'!J20=$B$97,"Yes", IF('User input'!J20=$B$98,"Yes", IF('User input'!J20=$B$99,"Yes"))))))</f>
        <v>No</v>
      </c>
      <c r="J40" s="191" t="str">
        <f>IF('User input'!J20=$B$94,"No", IF('User input'!J20=$B$95,"No", IF('User input'!J20=$B$96,"No", IF('User input'!J20=$B$97,"Yes", IF('User input'!J20=$B$98,"Yes", IF('User input'!J20=$B$99,"Yes"))))))</f>
        <v>No</v>
      </c>
      <c r="K40" s="107">
        <f>IF('User input'!J20=$B$94,0, IF('User input'!J20=$B$95,G40, IF('User input'!J20=$B$96,G40+$P$5, IF('User input'!J20=$B$97,G40+G40, IF('User input'!J20=$B$98,G40+$P$5+G40, IF('User input'!J20=$B$99,G40+$P$5+G40+$P$5))))))</f>
        <v>0</v>
      </c>
      <c r="L40" s="5"/>
      <c r="M40" s="5"/>
      <c r="N40" s="5"/>
      <c r="O40" s="118"/>
      <c r="P40" s="118"/>
      <c r="Q40" s="118"/>
      <c r="R40" s="118"/>
      <c r="S40" s="118"/>
      <c r="T40" s="118"/>
      <c r="U40" s="118"/>
      <c r="V40" s="118"/>
      <c r="W40" s="118"/>
      <c r="X40" s="118"/>
      <c r="Y40" s="156" t="s">
        <v>94</v>
      </c>
      <c r="Z40" s="157">
        <f t="shared" si="11"/>
        <v>2300</v>
      </c>
      <c r="AA40" s="202">
        <v>0.1575</v>
      </c>
      <c r="AB40" s="106"/>
      <c r="AC40" s="106"/>
      <c r="AD40" s="12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5"/>
      <c r="BN40" s="5"/>
      <c r="BO40" s="5"/>
      <c r="BP40" s="5"/>
      <c r="BQ40" s="5"/>
    </row>
    <row r="41" spans="1:69" x14ac:dyDescent="0.5">
      <c r="A41" s="5"/>
      <c r="B41" s="253" t="s">
        <v>250</v>
      </c>
      <c r="C41" s="205">
        <v>10.26</v>
      </c>
      <c r="D41" s="275" t="s">
        <v>189</v>
      </c>
      <c r="E41" s="204">
        <v>70</v>
      </c>
      <c r="F41" s="275" t="s">
        <v>190</v>
      </c>
      <c r="G41" s="115">
        <f t="shared" si="14"/>
        <v>718.19999999999993</v>
      </c>
      <c r="H41" s="114" t="s">
        <v>9</v>
      </c>
      <c r="I41" s="191" t="str">
        <f>IF('User input'!J21=$B$94,"No", IF('User input'!J21=$B$95,"Yes", IF('User input'!J21=$B$96,"Yes", IF('User input'!J21=$B$97,"Yes", IF('User input'!J21=$B$98,"Yes", IF('User input'!J21=$B$99,"Yes"))))))</f>
        <v>No</v>
      </c>
      <c r="J41" s="191" t="str">
        <f>IF('User input'!J21=$B$94,"No", IF('User input'!J21=$B$95,"No", IF('User input'!J21=$B$96,"No", IF('User input'!J21=$B$97,"Yes", IF('User input'!J21=$B$98,"Yes", IF('User input'!J21=$B$99,"Yes"))))))</f>
        <v>No</v>
      </c>
      <c r="K41" s="107">
        <f>IF('User input'!J21=$B$94,0, IF('User input'!J21=$B$95,G41, IF('User input'!J21=$B$96,G41+$P$5, IF('User input'!J21=$B$97,G41+G41, IF('User input'!J21=$B$98,G41+$P$5+G41, IF('User input'!J21=$B$99,G41+$P$5+G41+$P$5))))))</f>
        <v>0</v>
      </c>
      <c r="L41" s="5"/>
      <c r="M41" s="5"/>
      <c r="N41" s="5"/>
      <c r="O41" s="118"/>
      <c r="P41" s="118"/>
      <c r="Q41" s="118"/>
      <c r="R41" s="118"/>
      <c r="S41" s="118"/>
      <c r="T41" s="118"/>
      <c r="U41" s="118"/>
      <c r="V41" s="118"/>
      <c r="W41" s="118"/>
      <c r="X41" s="118"/>
      <c r="Y41" s="156" t="s">
        <v>95</v>
      </c>
      <c r="Z41" s="157">
        <f t="shared" si="11"/>
        <v>2400</v>
      </c>
      <c r="AA41" s="202">
        <v>0.155</v>
      </c>
      <c r="AB41" s="106"/>
      <c r="AC41" s="106"/>
      <c r="AD41" s="12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5"/>
      <c r="BN41" s="5"/>
      <c r="BO41" s="5"/>
      <c r="BP41" s="5"/>
      <c r="BQ41" s="5"/>
    </row>
    <row r="42" spans="1:69" x14ac:dyDescent="0.5">
      <c r="A42" s="5"/>
      <c r="B42" s="224" t="s">
        <v>259</v>
      </c>
      <c r="C42" s="205">
        <v>1031</v>
      </c>
      <c r="D42" s="275" t="s">
        <v>189</v>
      </c>
      <c r="E42" s="206">
        <v>0.08</v>
      </c>
      <c r="F42" s="275" t="s">
        <v>190</v>
      </c>
      <c r="G42" s="105">
        <f t="shared" ref="G42" si="15">C42*E42</f>
        <v>82.48</v>
      </c>
      <c r="H42" s="104" t="s">
        <v>9</v>
      </c>
      <c r="I42" s="191" t="str">
        <f>IF('User input'!J22=$B$94,"No", IF('User input'!J22=$B$95,"Yes", IF('User input'!J22=$B$96,"Yes", IF('User input'!J22=$B$97,"Yes", IF('User input'!J22=$B$98,"Yes", IF('User input'!J22=$B$99,"Yes"))))))</f>
        <v>No</v>
      </c>
      <c r="J42" s="191" t="str">
        <f>IF('User input'!J22=$B$94,"No", IF('User input'!J22=$B$95,"No", IF('User input'!J22=$B$96,"No", IF('User input'!J22=$B$97,"Yes", IF('User input'!J22=$B$98,"Yes", IF('User input'!J22=$B$99,"Yes"))))))</f>
        <v>No</v>
      </c>
      <c r="K42" s="107">
        <f>IF('User input'!J22=$B$94,0, IF('User input'!J22=$B$95,G42, IF('User input'!J22=$B$96,G42+$P$5, IF('User input'!J22=$B$97,G42+G42, IF('User input'!J22=$B$98,G42+$P$5+G42, IF('User input'!J22=$B$99,G42+$P$5+G42+$P$5))))))</f>
        <v>0</v>
      </c>
      <c r="L42" s="5"/>
      <c r="M42" s="5"/>
      <c r="N42" s="5"/>
      <c r="O42" s="118"/>
      <c r="P42" s="118"/>
      <c r="Q42" s="118"/>
      <c r="R42" s="118"/>
      <c r="S42" s="118"/>
      <c r="T42" s="118"/>
      <c r="U42" s="118"/>
      <c r="V42" s="118"/>
      <c r="W42" s="118"/>
      <c r="X42" s="118"/>
      <c r="Y42" s="156" t="s">
        <v>96</v>
      </c>
      <c r="Z42" s="157">
        <f t="shared" si="11"/>
        <v>2500</v>
      </c>
      <c r="AA42" s="202">
        <v>0.1525</v>
      </c>
      <c r="AB42" s="106"/>
      <c r="AC42" s="106"/>
      <c r="AD42" s="12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5"/>
      <c r="BN42" s="5"/>
      <c r="BO42" s="5"/>
      <c r="BP42" s="5"/>
      <c r="BQ42" s="5"/>
    </row>
    <row r="43" spans="1:69" x14ac:dyDescent="0.5">
      <c r="A43" s="5"/>
      <c r="B43" s="224" t="s">
        <v>140</v>
      </c>
      <c r="C43" s="205"/>
      <c r="D43" s="275" t="s">
        <v>172</v>
      </c>
      <c r="E43" s="206"/>
      <c r="F43" s="275" t="s">
        <v>173</v>
      </c>
      <c r="G43" s="105">
        <f t="shared" ref="G43:G45" si="16">C43*E43</f>
        <v>0</v>
      </c>
      <c r="H43" s="104" t="s">
        <v>9</v>
      </c>
      <c r="I43" s="191" t="str">
        <f>IF('User input'!J23=$B$94,"No", IF('User input'!J23=$B$95,"Yes", IF('User input'!J23=$B$96,"Yes", IF('User input'!J23=$B$97,"Yes", IF('User input'!J23=$B$98,"Yes", IF('User input'!J23=$B$99,"Yes"))))))</f>
        <v>No</v>
      </c>
      <c r="J43" s="191" t="str">
        <f>IF('User input'!J23=$B$94,"No", IF('User input'!J23=$B$95,"No", IF('User input'!J23=$B$96,"No", IF('User input'!J23=$B$97,"Yes", IF('User input'!J23=$B$98,"Yes", IF('User input'!J23=$B$99,"Yes"))))))</f>
        <v>No</v>
      </c>
      <c r="K43" s="107">
        <f>IF('User input'!J23=$B$94,0, IF('User input'!J23=$B$95,G43, IF('User input'!J23=$B$96,G43+$P$5, IF('User input'!J23=$B$97,G43+G43, IF('User input'!J23=$B$98,G43+$P$5+G43, IF('User input'!J23=$B$99,G43+$P$5+G43+$P$5))))))</f>
        <v>0</v>
      </c>
      <c r="L43" s="5"/>
      <c r="M43" s="5"/>
      <c r="N43" s="5"/>
      <c r="O43" s="118"/>
      <c r="P43" s="118"/>
      <c r="Q43" s="118"/>
      <c r="R43" s="118"/>
      <c r="S43" s="118"/>
      <c r="T43" s="118"/>
      <c r="U43" s="118"/>
      <c r="V43" s="118"/>
      <c r="W43" s="118"/>
      <c r="X43" s="118"/>
      <c r="Y43" s="156" t="s">
        <v>97</v>
      </c>
      <c r="Z43" s="157">
        <f t="shared" si="11"/>
        <v>2600</v>
      </c>
      <c r="AA43" s="202">
        <v>0.15</v>
      </c>
      <c r="AB43" s="106"/>
      <c r="AC43" s="106"/>
      <c r="AD43" s="12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5"/>
      <c r="BN43" s="5"/>
      <c r="BO43" s="5"/>
      <c r="BP43" s="5"/>
      <c r="BQ43" s="5"/>
    </row>
    <row r="44" spans="1:69" x14ac:dyDescent="0.5">
      <c r="A44" s="5"/>
      <c r="B44" s="224" t="s">
        <v>140</v>
      </c>
      <c r="C44" s="205"/>
      <c r="D44" s="275" t="s">
        <v>172</v>
      </c>
      <c r="E44" s="206"/>
      <c r="F44" s="275" t="s">
        <v>173</v>
      </c>
      <c r="G44" s="105">
        <f t="shared" si="16"/>
        <v>0</v>
      </c>
      <c r="H44" s="104" t="s">
        <v>9</v>
      </c>
      <c r="I44" s="191" t="str">
        <f>IF('User input'!J24=$B$94,"No", IF('User input'!J24=$B$95,"Yes", IF('User input'!J24=$B$96,"Yes", IF('User input'!J24=$B$97,"Yes", IF('User input'!J24=$B$98,"Yes", IF('User input'!J24=$B$99,"Yes"))))))</f>
        <v>No</v>
      </c>
      <c r="J44" s="191" t="str">
        <f>IF('User input'!J24=$B$94,"No", IF('User input'!J24=$B$95,"No", IF('User input'!J24=$B$96,"No", IF('User input'!J24=$B$97,"Yes", IF('User input'!J24=$B$98,"Yes", IF('User input'!J24=$B$99,"Yes"))))))</f>
        <v>No</v>
      </c>
      <c r="K44" s="107">
        <f>IF('User input'!J24=$B$94,0, IF('User input'!J24=$B$95,G44, IF('User input'!J24=$B$96,G44+$P$5, IF('User input'!J24=$B$97,G44+G44, IF('User input'!J24=$B$98,G44+$P$5+G44, IF('User input'!J24=$B$99,G44+$P$5+G44+$P$5))))))</f>
        <v>0</v>
      </c>
      <c r="L44" s="5"/>
      <c r="M44" s="5"/>
      <c r="N44" s="5"/>
      <c r="O44" s="118"/>
      <c r="P44" s="118"/>
      <c r="Q44" s="118"/>
      <c r="R44" s="118"/>
      <c r="S44" s="118"/>
      <c r="T44" s="118"/>
      <c r="U44" s="118"/>
      <c r="V44" s="118"/>
      <c r="W44" s="118"/>
      <c r="X44" s="118"/>
      <c r="Y44" s="156" t="s">
        <v>98</v>
      </c>
      <c r="Z44" s="157">
        <f t="shared" si="11"/>
        <v>2700</v>
      </c>
      <c r="AA44" s="202">
        <v>0.14749999999999999</v>
      </c>
      <c r="AB44" s="106"/>
      <c r="AC44" s="106"/>
      <c r="AD44" s="12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5"/>
      <c r="BN44" s="5"/>
      <c r="BO44" s="5"/>
      <c r="BP44" s="5"/>
      <c r="BQ44" s="5"/>
    </row>
    <row r="45" spans="1:69" ht="14.7" thickBot="1" x14ac:dyDescent="0.55000000000000004">
      <c r="A45" s="5"/>
      <c r="B45" s="179" t="s">
        <v>140</v>
      </c>
      <c r="C45" s="108"/>
      <c r="D45" s="276" t="s">
        <v>172</v>
      </c>
      <c r="E45" s="109"/>
      <c r="F45" s="276" t="s">
        <v>173</v>
      </c>
      <c r="G45" s="110">
        <f t="shared" si="16"/>
        <v>0</v>
      </c>
      <c r="H45" s="116" t="s">
        <v>9</v>
      </c>
      <c r="I45" s="195" t="str">
        <f>IF('User input'!J25=$B$94,"No", IF('User input'!J25=$B$95,"Yes", IF('User input'!J25=$B$96,"Yes", IF('User input'!J25=$B$97,"Yes", IF('User input'!J25=$B$98,"Yes", IF('User input'!J25=$B$99,"Yes"))))))</f>
        <v>No</v>
      </c>
      <c r="J45" s="191" t="str">
        <f>IF('User input'!J25=$B$94,"No", IF('User input'!J25=$B$95,"No", IF('User input'!J25=$B$96,"No", IF('User input'!J25=$B$97,"Yes", IF('User input'!J25=$B$98,"Yes", IF('User input'!J25=$B$99,"Yes"))))))</f>
        <v>No</v>
      </c>
      <c r="K45" s="107">
        <f>IF('User input'!J25=$B$94,0, IF('User input'!J25=$B$95,G45, IF('User input'!J25=$B$96,G45+$P$5, IF('User input'!J25=$B$97,G45+G45, IF('User input'!J25=$B$98,G45+$P$5+G45, IF('User input'!J25=$B$99,G45+$P$5+G45+$P$5))))))</f>
        <v>0</v>
      </c>
      <c r="L45" s="5"/>
      <c r="M45" s="5"/>
      <c r="N45" s="5"/>
      <c r="O45" s="118"/>
      <c r="P45" s="118"/>
      <c r="Q45" s="118"/>
      <c r="R45" s="118"/>
      <c r="S45" s="118"/>
      <c r="T45" s="118"/>
      <c r="U45" s="118"/>
      <c r="V45" s="118"/>
      <c r="W45" s="118"/>
      <c r="X45" s="118"/>
      <c r="Y45" s="156" t="s">
        <v>99</v>
      </c>
      <c r="Z45" s="157">
        <f t="shared" si="11"/>
        <v>2800</v>
      </c>
      <c r="AA45" s="202">
        <v>0.14499999999999999</v>
      </c>
      <c r="AB45" s="106"/>
      <c r="AC45" s="106"/>
      <c r="AD45" s="12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5"/>
      <c r="BN45" s="5"/>
      <c r="BO45" s="5"/>
      <c r="BP45" s="5"/>
      <c r="BQ45" s="5"/>
    </row>
    <row r="46" spans="1:69" ht="15" thickTop="1" thickBot="1" x14ac:dyDescent="0.55000000000000004">
      <c r="A46" s="5"/>
      <c r="B46" s="112"/>
      <c r="C46" s="112"/>
      <c r="D46" s="277"/>
      <c r="E46" s="112"/>
      <c r="F46" s="277"/>
      <c r="G46" s="112"/>
      <c r="H46" s="112"/>
      <c r="I46" s="112"/>
      <c r="J46" s="113" t="s">
        <v>69</v>
      </c>
      <c r="K46" s="88">
        <f>SUM(K27:K45)</f>
        <v>0</v>
      </c>
      <c r="L46" s="5"/>
      <c r="M46" s="5"/>
      <c r="N46" s="5"/>
      <c r="O46" s="118"/>
      <c r="P46" s="118"/>
      <c r="Q46" s="118"/>
      <c r="R46" s="118"/>
      <c r="S46" s="118"/>
      <c r="T46" s="118"/>
      <c r="U46" s="118"/>
      <c r="V46" s="118"/>
      <c r="W46" s="118"/>
      <c r="X46" s="118"/>
      <c r="Y46" s="156" t="s">
        <v>100</v>
      </c>
      <c r="Z46" s="157">
        <f t="shared" si="11"/>
        <v>2900</v>
      </c>
      <c r="AA46" s="202">
        <v>0.14249999999999999</v>
      </c>
      <c r="AB46" s="106"/>
      <c r="AC46" s="106"/>
      <c r="AD46" s="12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5"/>
      <c r="BN46" s="5"/>
      <c r="BO46" s="5"/>
      <c r="BP46" s="5"/>
      <c r="BQ46" s="5"/>
    </row>
    <row r="47" spans="1:69" ht="15" thickTop="1" thickBot="1" x14ac:dyDescent="0.55000000000000004">
      <c r="A47" s="5"/>
      <c r="B47" s="112"/>
      <c r="C47" s="112"/>
      <c r="D47" s="277"/>
      <c r="E47" s="112"/>
      <c r="F47" s="277"/>
      <c r="G47" s="112"/>
      <c r="H47" s="112"/>
      <c r="I47" s="112"/>
      <c r="J47" s="112"/>
      <c r="K47" s="112"/>
      <c r="L47" s="5"/>
      <c r="M47" s="5"/>
      <c r="N47" s="5"/>
      <c r="O47" s="118"/>
      <c r="P47" s="118"/>
      <c r="Q47" s="118"/>
      <c r="R47" s="118"/>
      <c r="S47" s="118"/>
      <c r="T47" s="118"/>
      <c r="U47" s="118"/>
      <c r="V47" s="118"/>
      <c r="W47" s="118"/>
      <c r="X47" s="118"/>
      <c r="Y47" s="156" t="s">
        <v>101</v>
      </c>
      <c r="Z47" s="157">
        <f t="shared" si="11"/>
        <v>3000</v>
      </c>
      <c r="AA47" s="202">
        <v>0.14000000000000001</v>
      </c>
      <c r="AB47" s="106"/>
      <c r="AC47" s="106"/>
      <c r="AD47" s="12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5"/>
      <c r="BN47" s="5"/>
      <c r="BO47" s="5"/>
      <c r="BP47" s="5"/>
      <c r="BQ47" s="5"/>
    </row>
    <row r="48" spans="1:69" ht="14.7" thickTop="1" x14ac:dyDescent="0.5">
      <c r="A48" s="5"/>
      <c r="B48" s="101" t="s">
        <v>3</v>
      </c>
      <c r="C48" s="266" t="s">
        <v>262</v>
      </c>
      <c r="D48" s="278"/>
      <c r="E48" s="102" t="s">
        <v>1</v>
      </c>
      <c r="F48" s="278"/>
      <c r="G48" s="102" t="s">
        <v>27</v>
      </c>
      <c r="H48" s="102"/>
      <c r="I48" s="194" t="s">
        <v>77</v>
      </c>
      <c r="J48" s="194" t="s">
        <v>78</v>
      </c>
      <c r="K48" s="103"/>
      <c r="L48" s="5"/>
      <c r="M48" s="5"/>
      <c r="N48" s="5"/>
      <c r="O48" s="118"/>
      <c r="P48" s="118"/>
      <c r="Q48" s="118"/>
      <c r="R48" s="118"/>
      <c r="S48" s="118"/>
      <c r="T48" s="118"/>
      <c r="U48" s="118"/>
      <c r="V48" s="118"/>
      <c r="W48" s="118"/>
      <c r="X48" s="118"/>
      <c r="Y48" s="156" t="s">
        <v>102</v>
      </c>
      <c r="Z48" s="157">
        <f t="shared" si="11"/>
        <v>3100</v>
      </c>
      <c r="AA48" s="202">
        <v>0.13750000000000001</v>
      </c>
      <c r="AB48" s="106"/>
      <c r="AC48" s="106"/>
      <c r="AD48" s="12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5"/>
      <c r="BN48" s="5"/>
      <c r="BO48" s="5"/>
      <c r="BP48" s="5"/>
      <c r="BQ48" s="5"/>
    </row>
    <row r="49" spans="1:69" x14ac:dyDescent="0.5">
      <c r="A49" s="5"/>
      <c r="B49" s="224" t="s">
        <v>212</v>
      </c>
      <c r="C49" s="100">
        <v>20</v>
      </c>
      <c r="D49" s="275" t="s">
        <v>195</v>
      </c>
      <c r="E49" s="204">
        <v>2</v>
      </c>
      <c r="F49" s="275" t="s">
        <v>196</v>
      </c>
      <c r="G49" s="105">
        <f t="shared" ref="G49:G59" si="17">C49*E49</f>
        <v>40</v>
      </c>
      <c r="H49" s="106" t="s">
        <v>9</v>
      </c>
      <c r="I49" s="191" t="str">
        <f>IF('User input'!M7=$B$94,"No", IF('User input'!M7=$B$95,"Yes", IF('User input'!M7=$B$96,"Yes", IF('User input'!M7=$B$97,"Yes", IF('User input'!M7=$B$98,"Yes", IF('User input'!M7=$B$99,"Yes"))))))</f>
        <v>No</v>
      </c>
      <c r="J49" s="191" t="str">
        <f>IF('User input'!M7=$B$94,"No", IF('User input'!M7=$B$95,"No", IF('User input'!M7=$B$96,"No", IF('User input'!M7=$B$97,"Yes", IF('User input'!M7=$B$98,"Yes", IF('User input'!M7=$B$99,"Yes"))))))</f>
        <v>No</v>
      </c>
      <c r="K49" s="107">
        <f>IF('User input'!M7=$B$94,0, IF('User input'!M7=$B$95,G49, IF('User input'!M7=$B$96,G49+$P$5, IF('User input'!M7=$B$97,G49+G49, IF('User input'!M7=$B$98,G49+$P$5+G49, IF('User input'!M7=$B$99,G49+$P$5+G49+$P$5))))))</f>
        <v>0</v>
      </c>
      <c r="L49" s="5"/>
      <c r="M49" s="5"/>
      <c r="N49" s="5"/>
      <c r="O49" s="118"/>
      <c r="P49" s="118"/>
      <c r="Q49" s="118"/>
      <c r="R49" s="118"/>
      <c r="S49" s="118"/>
      <c r="T49" s="118"/>
      <c r="U49" s="118"/>
      <c r="V49" s="118"/>
      <c r="W49" s="118"/>
      <c r="X49" s="118"/>
      <c r="Y49" s="156" t="s">
        <v>103</v>
      </c>
      <c r="Z49" s="157">
        <f t="shared" si="11"/>
        <v>3200</v>
      </c>
      <c r="AA49" s="202">
        <v>0.13500000000000001</v>
      </c>
      <c r="AB49" s="106"/>
      <c r="AC49" s="106"/>
      <c r="AD49" s="12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5"/>
      <c r="BN49" s="5"/>
      <c r="BO49" s="5"/>
      <c r="BP49" s="5"/>
      <c r="BQ49" s="5"/>
    </row>
    <row r="50" spans="1:69" x14ac:dyDescent="0.5">
      <c r="A50" s="5"/>
      <c r="B50" s="224" t="s">
        <v>213</v>
      </c>
      <c r="C50" s="100">
        <v>150</v>
      </c>
      <c r="D50" s="275" t="s">
        <v>195</v>
      </c>
      <c r="E50" s="204">
        <v>0.14499999999999999</v>
      </c>
      <c r="F50" s="275" t="s">
        <v>196</v>
      </c>
      <c r="G50" s="105">
        <f t="shared" si="17"/>
        <v>21.75</v>
      </c>
      <c r="H50" s="106" t="s">
        <v>9</v>
      </c>
      <c r="I50" s="191" t="str">
        <f>IF('User input'!M8=$B$94,"No", IF('User input'!M8=$B$95,"Yes", IF('User input'!M8=$B$96,"Yes", IF('User input'!M8=$B$97,"Yes", IF('User input'!M8=$B$98,"Yes", IF('User input'!M8=$B$99,"Yes"))))))</f>
        <v>No</v>
      </c>
      <c r="J50" s="191" t="str">
        <f>IF('User input'!M8=$B$94,"No", IF('User input'!M8=$B$95,"No", IF('User input'!M8=$B$96,"No", IF('User input'!M8=$B$97,"Yes", IF('User input'!M8=$B$98,"Yes", IF('User input'!M8=$B$99,"Yes"))))))</f>
        <v>No</v>
      </c>
      <c r="K50" s="107">
        <f>IF('User input'!M8=$B$94,0, IF('User input'!M8=$B$95,G50, IF('User input'!M8=$B$96,G50+$P$5, IF('User input'!M8=$B$97,G50+G50, IF('User input'!M8=$B$98,G50+$P$5+G50, IF('User input'!M8=$B$99,G50+$P$5+G50+$P$5))))))</f>
        <v>0</v>
      </c>
      <c r="L50" s="5"/>
      <c r="M50" s="5"/>
      <c r="N50" s="5"/>
      <c r="O50" s="118"/>
      <c r="P50" s="118"/>
      <c r="Q50" s="118"/>
      <c r="R50" s="118"/>
      <c r="S50" s="118"/>
      <c r="T50" s="118"/>
      <c r="U50" s="118"/>
      <c r="V50" s="118"/>
      <c r="W50" s="118"/>
      <c r="X50" s="118"/>
      <c r="Y50" s="156" t="s">
        <v>104</v>
      </c>
      <c r="Z50" s="157">
        <f>Z49+100</f>
        <v>3300</v>
      </c>
      <c r="AA50" s="202">
        <v>0.13250000000000001</v>
      </c>
      <c r="AB50" s="106"/>
      <c r="AC50" s="106"/>
      <c r="AD50" s="12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5"/>
      <c r="BN50" s="5"/>
      <c r="BO50" s="5"/>
      <c r="BP50" s="5"/>
      <c r="BQ50" s="5"/>
    </row>
    <row r="51" spans="1:69" x14ac:dyDescent="0.5">
      <c r="A51" s="5"/>
      <c r="B51" s="224" t="s">
        <v>214</v>
      </c>
      <c r="C51" s="100">
        <v>49</v>
      </c>
      <c r="D51" s="275" t="s">
        <v>195</v>
      </c>
      <c r="E51" s="204">
        <v>0.2</v>
      </c>
      <c r="F51" s="275" t="s">
        <v>196</v>
      </c>
      <c r="G51" s="105">
        <f t="shared" si="17"/>
        <v>9.8000000000000007</v>
      </c>
      <c r="H51" s="106" t="s">
        <v>9</v>
      </c>
      <c r="I51" s="191" t="str">
        <f>IF('User input'!M9=$B$94,"No", IF('User input'!M9=$B$95,"Yes", IF('User input'!M9=$B$96,"Yes", IF('User input'!M9=$B$97,"Yes", IF('User input'!M9=$B$98,"Yes", IF('User input'!M9=$B$99,"Yes"))))))</f>
        <v>No</v>
      </c>
      <c r="J51" s="191" t="str">
        <f>IF('User input'!M9=$B$94,"No", IF('User input'!M9=$B$95,"No", IF('User input'!M9=$B$96,"No", IF('User input'!M9=$B$97,"Yes", IF('User input'!M9=$B$98,"Yes", IF('User input'!M9=$B$99,"Yes"))))))</f>
        <v>No</v>
      </c>
      <c r="K51" s="107">
        <f>IF('User input'!M9=$B$94,0, IF('User input'!M9=$B$95,G51, IF('User input'!M9=$B$96,G51+$P$5, IF('User input'!M9=$B$97,G51+G51, IF('User input'!M9=$B$98,G51+$P$5+G51, IF('User input'!M9=$B$99,G51+$P$5+G51+$P$5))))))</f>
        <v>0</v>
      </c>
      <c r="L51" s="5"/>
      <c r="M51" s="5"/>
      <c r="N51" s="5"/>
      <c r="O51" s="118"/>
      <c r="P51" s="118"/>
      <c r="Q51" s="118"/>
      <c r="R51" s="118"/>
      <c r="S51" s="118"/>
      <c r="T51" s="118"/>
      <c r="U51" s="118"/>
      <c r="V51" s="118"/>
      <c r="W51" s="118"/>
      <c r="X51" s="118"/>
      <c r="Y51" s="156" t="s">
        <v>105</v>
      </c>
      <c r="Z51" s="157">
        <f t="shared" si="11"/>
        <v>3400</v>
      </c>
      <c r="AA51" s="202">
        <v>0.13</v>
      </c>
      <c r="AB51" s="106"/>
      <c r="AC51" s="106"/>
      <c r="AD51" s="12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5"/>
      <c r="BN51" s="5"/>
      <c r="BO51" s="5"/>
      <c r="BP51" s="5"/>
      <c r="BQ51" s="5"/>
    </row>
    <row r="52" spans="1:69" x14ac:dyDescent="0.5">
      <c r="A52" s="5"/>
      <c r="B52" s="224" t="s">
        <v>215</v>
      </c>
      <c r="C52" s="100">
        <v>123</v>
      </c>
      <c r="D52" s="275" t="s">
        <v>195</v>
      </c>
      <c r="E52" s="204">
        <v>0.90600000000000003</v>
      </c>
      <c r="F52" s="275" t="s">
        <v>196</v>
      </c>
      <c r="G52" s="105">
        <f t="shared" si="17"/>
        <v>111.438</v>
      </c>
      <c r="H52" s="106" t="s">
        <v>9</v>
      </c>
      <c r="I52" s="191" t="str">
        <f>IF('User input'!M10=$B$94,"No", IF('User input'!M10=$B$95,"Yes", IF('User input'!M10=$B$96,"Yes", IF('User input'!M10=$B$97,"Yes", IF('User input'!M10=$B$98,"Yes", IF('User input'!M10=$B$99,"Yes"))))))</f>
        <v>No</v>
      </c>
      <c r="J52" s="191" t="str">
        <f>IF('User input'!M10=$B$94,"No", IF('User input'!M10=$B$95,"No", IF('User input'!M10=$B$96,"No", IF('User input'!M10=$B$97,"Yes", IF('User input'!M10=$B$98,"Yes", IF('User input'!M10=$B$99,"Yes"))))))</f>
        <v>No</v>
      </c>
      <c r="K52" s="107">
        <f>IF('User input'!M10=$B$94,0, IF('User input'!M10=$B$95,G52, IF('User input'!M10=$B$96,G52+$P$5, IF('User input'!M10=$B$97,G52+G52, IF('User input'!M10=$B$98,G52+$P$5+G52, IF('User input'!M10=$B$99,G52+$P$5+G52+$P$5))))))</f>
        <v>0</v>
      </c>
      <c r="L52" s="5"/>
      <c r="M52" s="5"/>
      <c r="N52" s="5"/>
      <c r="O52" s="118"/>
      <c r="P52" s="118"/>
      <c r="Q52" s="118"/>
      <c r="R52" s="118"/>
      <c r="S52" s="118"/>
      <c r="T52" s="118"/>
      <c r="U52" s="118"/>
      <c r="V52" s="118"/>
      <c r="W52" s="118"/>
      <c r="X52" s="118"/>
      <c r="Y52" s="156" t="s">
        <v>106</v>
      </c>
      <c r="Z52" s="157">
        <f t="shared" si="11"/>
        <v>3500</v>
      </c>
      <c r="AA52" s="202">
        <v>0.1275</v>
      </c>
      <c r="AB52" s="106"/>
      <c r="AC52" s="106"/>
      <c r="AD52" s="12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5"/>
      <c r="BN52" s="5"/>
      <c r="BO52" s="5"/>
      <c r="BP52" s="5"/>
      <c r="BQ52" s="5"/>
    </row>
    <row r="53" spans="1:69" x14ac:dyDescent="0.5">
      <c r="A53" s="5"/>
      <c r="B53" s="224" t="s">
        <v>252</v>
      </c>
      <c r="C53" s="100">
        <v>19</v>
      </c>
      <c r="D53" s="275" t="s">
        <v>189</v>
      </c>
      <c r="E53" s="204">
        <v>0.91</v>
      </c>
      <c r="F53" s="275" t="s">
        <v>190</v>
      </c>
      <c r="G53" s="105">
        <f t="shared" si="17"/>
        <v>17.29</v>
      </c>
      <c r="H53" s="106" t="s">
        <v>9</v>
      </c>
      <c r="I53" s="191" t="str">
        <f>IF('User input'!M11=$B$94,"No", IF('User input'!M11=$B$95,"Yes", IF('User input'!M11=$B$96,"Yes", IF('User input'!M11=$B$97,"Yes", IF('User input'!M11=$B$98,"Yes", IF('User input'!M11=$B$99,"Yes"))))))</f>
        <v>No</v>
      </c>
      <c r="J53" s="191" t="str">
        <f>IF('User input'!M11=$B$94,"No", IF('User input'!M11=$B$95,"No", IF('User input'!M11=$B$96,"No", IF('User input'!M11=$B$97,"Yes", IF('User input'!M11=$B$98,"Yes", IF('User input'!M11=$B$99,"Yes"))))))</f>
        <v>No</v>
      </c>
      <c r="K53" s="107">
        <f>IF('User input'!M11=$B$94,0, IF('User input'!M11=$B$95,G53, IF('User input'!M11=$B$96,G53+$P$5, IF('User input'!M11=$B$97,G53+G53, IF('User input'!M11=$B$98,G53+$P$5+G53, IF('User input'!M11=$B$99,G53+$P$5+G53+$P$5))))))</f>
        <v>0</v>
      </c>
      <c r="L53" s="5"/>
      <c r="M53" s="5"/>
      <c r="N53" s="5"/>
      <c r="O53" s="118"/>
      <c r="P53" s="118"/>
      <c r="Q53" s="118"/>
      <c r="R53" s="118"/>
      <c r="S53" s="118"/>
      <c r="T53" s="118"/>
      <c r="U53" s="118"/>
      <c r="V53" s="118"/>
      <c r="W53" s="118"/>
      <c r="X53" s="118"/>
      <c r="Y53" s="156" t="s">
        <v>107</v>
      </c>
      <c r="Z53" s="157">
        <f t="shared" si="11"/>
        <v>3600</v>
      </c>
      <c r="AA53" s="202">
        <v>0.125</v>
      </c>
      <c r="AB53" s="106"/>
      <c r="AC53" s="106"/>
      <c r="AD53" s="12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5"/>
      <c r="BN53" s="5"/>
      <c r="BO53" s="5"/>
      <c r="BP53" s="5"/>
      <c r="BQ53" s="5"/>
    </row>
    <row r="54" spans="1:69" x14ac:dyDescent="0.5">
      <c r="A54" s="5"/>
      <c r="B54" s="224" t="s">
        <v>216</v>
      </c>
      <c r="C54" s="100">
        <v>45</v>
      </c>
      <c r="D54" s="275" t="s">
        <v>195</v>
      </c>
      <c r="E54" s="204">
        <v>0.12</v>
      </c>
      <c r="F54" s="275" t="s">
        <v>196</v>
      </c>
      <c r="G54" s="105">
        <f t="shared" si="17"/>
        <v>5.3999999999999995</v>
      </c>
      <c r="H54" s="106" t="s">
        <v>9</v>
      </c>
      <c r="I54" s="191" t="str">
        <f>IF('User input'!M12=$B$94,"No", IF('User input'!M12=$B$95,"Yes", IF('User input'!M12=$B$96,"Yes", IF('User input'!M12=$B$97,"Yes", IF('User input'!M12=$B$98,"Yes", IF('User input'!M12=$B$99,"Yes"))))))</f>
        <v>No</v>
      </c>
      <c r="J54" s="191" t="str">
        <f>IF('User input'!M12=$B$94,"No", IF('User input'!M12=$B$95,"No", IF('User input'!M12=$B$96,"No", IF('User input'!M12=$B$97,"Yes", IF('User input'!M12=$B$98,"Yes", IF('User input'!M12=$B$99,"Yes"))))))</f>
        <v>No</v>
      </c>
      <c r="K54" s="107">
        <f>IF('User input'!M12=$B$94,0, IF('User input'!M12=$B$95,G54, IF('User input'!M12=$B$96,G54+$P$5, IF('User input'!M12=$B$97,G54+G54, IF('User input'!M12=$B$98,G54+$P$5+G54, IF('User input'!M12=$B$99,G54+$P$5+G54+$P$5))))))</f>
        <v>0</v>
      </c>
      <c r="L54" s="5"/>
      <c r="M54" s="5"/>
      <c r="N54" s="5"/>
      <c r="O54" s="118"/>
      <c r="P54" s="118"/>
      <c r="Q54" s="118"/>
      <c r="R54" s="118"/>
      <c r="S54" s="118"/>
      <c r="T54" s="118"/>
      <c r="U54" s="118"/>
      <c r="V54" s="118"/>
      <c r="W54" s="118"/>
      <c r="X54" s="118"/>
      <c r="Y54" s="156" t="s">
        <v>108</v>
      </c>
      <c r="Z54" s="157">
        <f t="shared" si="11"/>
        <v>3700</v>
      </c>
      <c r="AA54" s="202">
        <v>0.1225</v>
      </c>
      <c r="AB54" s="106"/>
      <c r="AC54" s="106"/>
      <c r="AD54" s="12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5"/>
      <c r="BN54" s="5"/>
      <c r="BO54" s="5"/>
      <c r="BP54" s="5"/>
      <c r="BQ54" s="5"/>
    </row>
    <row r="55" spans="1:69" x14ac:dyDescent="0.5">
      <c r="A55" s="5"/>
      <c r="B55" s="224" t="s">
        <v>217</v>
      </c>
      <c r="C55" s="100">
        <v>68</v>
      </c>
      <c r="D55" s="275" t="s">
        <v>195</v>
      </c>
      <c r="E55" s="204">
        <v>0.7</v>
      </c>
      <c r="F55" s="275" t="s">
        <v>196</v>
      </c>
      <c r="G55" s="105">
        <f t="shared" si="17"/>
        <v>47.599999999999994</v>
      </c>
      <c r="H55" s="106" t="s">
        <v>9</v>
      </c>
      <c r="I55" s="191" t="str">
        <f>IF('User input'!M13=$B$94,"No", IF('User input'!M13=$B$95,"Yes", IF('User input'!M13=$B$96,"Yes", IF('User input'!M13=$B$97,"Yes", IF('User input'!M13=$B$98,"Yes", IF('User input'!M13=$B$99,"Yes"))))))</f>
        <v>No</v>
      </c>
      <c r="J55" s="191" t="str">
        <f>IF('User input'!M13=$B$94,"No", IF('User input'!M13=$B$95,"No", IF('User input'!M13=$B$96,"No", IF('User input'!M13=$B$97,"Yes", IF('User input'!M13=$B$98,"Yes", IF('User input'!M13=$B$99,"Yes"))))))</f>
        <v>No</v>
      </c>
      <c r="K55" s="107">
        <f>IF('User input'!M13=$B$94,0, IF('User input'!M13=$B$95,G55, IF('User input'!M13=$B$96,G55+$P$5, IF('User input'!M13=$B$97,G55+G55, IF('User input'!M13=$B$98,G55+$P$5+G55, IF('User input'!M13=$B$99,G55+$P$5+G55+$P$5))))))</f>
        <v>0</v>
      </c>
      <c r="L55" s="5"/>
      <c r="M55" s="5"/>
      <c r="N55" s="5"/>
      <c r="O55" s="118"/>
      <c r="P55" s="118"/>
      <c r="Q55" s="118"/>
      <c r="R55" s="118"/>
      <c r="S55" s="118"/>
      <c r="T55" s="118"/>
      <c r="U55" s="118"/>
      <c r="V55" s="118"/>
      <c r="W55" s="118"/>
      <c r="X55" s="118"/>
      <c r="Y55" s="156" t="s">
        <v>109</v>
      </c>
      <c r="Z55" s="157">
        <f t="shared" si="11"/>
        <v>3800</v>
      </c>
      <c r="AA55" s="202">
        <v>0.12</v>
      </c>
      <c r="AB55" s="106"/>
      <c r="AC55" s="106"/>
      <c r="AD55" s="12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5"/>
      <c r="BN55" s="5"/>
      <c r="BO55" s="5"/>
      <c r="BP55" s="5"/>
      <c r="BQ55" s="5"/>
    </row>
    <row r="56" spans="1:69" x14ac:dyDescent="0.5">
      <c r="A56" s="5"/>
      <c r="B56" s="224" t="s">
        <v>218</v>
      </c>
      <c r="C56" s="100">
        <v>26</v>
      </c>
      <c r="D56" s="275" t="s">
        <v>195</v>
      </c>
      <c r="E56" s="204">
        <v>0.40500000000000003</v>
      </c>
      <c r="F56" s="275" t="s">
        <v>196</v>
      </c>
      <c r="G56" s="105">
        <f t="shared" si="17"/>
        <v>10.530000000000001</v>
      </c>
      <c r="H56" s="106" t="s">
        <v>9</v>
      </c>
      <c r="I56" s="191" t="str">
        <f>IF('User input'!M14=$B$94,"No", IF('User input'!M14=$B$95,"Yes", IF('User input'!M14=$B$96,"Yes", IF('User input'!M14=$B$97,"Yes", IF('User input'!M14=$B$98,"Yes", IF('User input'!M14=$B$99,"Yes"))))))</f>
        <v>No</v>
      </c>
      <c r="J56" s="191" t="str">
        <f>IF('User input'!M14=$B$94,"No", IF('User input'!M14=$B$95,"No", IF('User input'!M14=$B$96,"No", IF('User input'!M14=$B$97,"Yes", IF('User input'!M14=$B$98,"Yes", IF('User input'!M14=$B$99,"Yes"))))))</f>
        <v>No</v>
      </c>
      <c r="K56" s="107">
        <f>IF('User input'!M14=$B$94,0, IF('User input'!M14=$B$95,G56, IF('User input'!M14=$B$96,G56+$P$5, IF('User input'!M14=$B$97,G56+G56, IF('User input'!M14=$B$98,G56+$P$5+G56, IF('User input'!M14=$B$99,G56+$P$5+G56+$P$5))))))</f>
        <v>0</v>
      </c>
      <c r="L56" s="5"/>
      <c r="M56" s="5"/>
      <c r="N56" s="5"/>
      <c r="O56" s="118"/>
      <c r="P56" s="118"/>
      <c r="Q56" s="118"/>
      <c r="R56" s="118"/>
      <c r="S56" s="118"/>
      <c r="T56" s="118"/>
      <c r="U56" s="118"/>
      <c r="V56" s="118"/>
      <c r="W56" s="118"/>
      <c r="X56" s="118"/>
      <c r="Y56" s="156" t="s">
        <v>110</v>
      </c>
      <c r="Z56" s="157">
        <v>4000</v>
      </c>
      <c r="AA56" s="202">
        <v>0.115</v>
      </c>
      <c r="AB56" s="106"/>
      <c r="AC56" s="106"/>
      <c r="AD56" s="12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5"/>
      <c r="BN56" s="5"/>
      <c r="BO56" s="5"/>
      <c r="BP56" s="5"/>
      <c r="BQ56" s="5"/>
    </row>
    <row r="57" spans="1:69" x14ac:dyDescent="0.5">
      <c r="A57" s="5"/>
      <c r="B57" s="224" t="s">
        <v>0</v>
      </c>
      <c r="C57" s="100">
        <v>252</v>
      </c>
      <c r="D57" s="275" t="s">
        <v>189</v>
      </c>
      <c r="E57" s="204">
        <v>0.35</v>
      </c>
      <c r="F57" s="275" t="s">
        <v>190</v>
      </c>
      <c r="G57" s="105">
        <f t="shared" si="17"/>
        <v>88.199999999999989</v>
      </c>
      <c r="H57" s="106" t="s">
        <v>9</v>
      </c>
      <c r="I57" s="191" t="str">
        <f>IF('User input'!M15=$B$94,"No", IF('User input'!M15=$B$95,"Yes", IF('User input'!M15=$B$96,"Yes", IF('User input'!M15=$B$97,"Yes", IF('User input'!M15=$B$98,"Yes", IF('User input'!M15=$B$99,"Yes"))))))</f>
        <v>No</v>
      </c>
      <c r="J57" s="191" t="str">
        <f>IF('User input'!M15=$B$94,"No", IF('User input'!M15=$B$95,"No", IF('User input'!M15=$B$96,"No", IF('User input'!M15=$B$97,"Yes", IF('User input'!M15=$B$98,"Yes", IF('User input'!M15=$B$99,"Yes"))))))</f>
        <v>No</v>
      </c>
      <c r="K57" s="107">
        <f>IF('User input'!M15=$B$94,0, IF('User input'!M15=$B$95,G57, IF('User input'!M15=$B$96,G57+$P$5, IF('User input'!M15=$B$97,G57+G57, IF('User input'!M15=$B$98,G57+$P$5+G57, IF('User input'!M15=$B$99,G57+$P$5+G57+$P$5))))))</f>
        <v>0</v>
      </c>
      <c r="L57" s="5"/>
      <c r="M57" s="5"/>
      <c r="N57" s="5"/>
      <c r="O57" s="118"/>
      <c r="P57" s="118"/>
      <c r="Q57" s="118"/>
      <c r="R57" s="118"/>
      <c r="S57" s="118"/>
      <c r="T57" s="118"/>
      <c r="U57" s="118"/>
      <c r="V57" s="118"/>
      <c r="W57" s="118"/>
      <c r="X57" s="118"/>
      <c r="Y57" s="156" t="s">
        <v>111</v>
      </c>
      <c r="Z57" s="157">
        <v>6000</v>
      </c>
      <c r="AA57" s="202">
        <v>0.11</v>
      </c>
      <c r="AB57" s="106"/>
      <c r="AC57" s="106"/>
      <c r="AD57" s="12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5"/>
      <c r="BN57" s="5"/>
      <c r="BO57" s="5"/>
      <c r="BP57" s="5"/>
      <c r="BQ57" s="5"/>
    </row>
    <row r="58" spans="1:69" x14ac:dyDescent="0.5">
      <c r="A58" s="5"/>
      <c r="B58" s="253" t="s">
        <v>219</v>
      </c>
      <c r="C58" s="205">
        <v>132</v>
      </c>
      <c r="D58" s="279" t="s">
        <v>189</v>
      </c>
      <c r="E58" s="206">
        <v>0.56599999999999995</v>
      </c>
      <c r="F58" s="275" t="s">
        <v>190</v>
      </c>
      <c r="G58" s="115">
        <f t="shared" si="17"/>
        <v>74.711999999999989</v>
      </c>
      <c r="H58" s="117" t="s">
        <v>9</v>
      </c>
      <c r="I58" s="191" t="str">
        <f>IF('User input'!M16=$B$94,"No", IF('User input'!M16=$B$95,"Yes", IF('User input'!M16=$B$96,"Yes", IF('User input'!M16=$B$97,"Yes", IF('User input'!M16=$B$98,"Yes", IF('User input'!M16=$B$99,"Yes"))))))</f>
        <v>No</v>
      </c>
      <c r="J58" s="191" t="str">
        <f>IF('User input'!M16=$B$94,"No", IF('User input'!M16=$B$95,"No", IF('User input'!M16=$B$96,"No", IF('User input'!M16=$B$97,"Yes", IF('User input'!M16=$B$98,"Yes", IF('User input'!M16=$B$99,"Yes"))))))</f>
        <v>No</v>
      </c>
      <c r="K58" s="107">
        <f>IF('User input'!M16=$B$94,0, IF('User input'!M16=$B$95,G58, IF('User input'!M16=$B$96,G58+$P$5, IF('User input'!M16=$B$97,G58+G58, IF('User input'!M16=$B$98,G58+$P$5+G58, IF('User input'!M16=$B$99,G58+$P$5+G58+$P$5))))))</f>
        <v>0</v>
      </c>
      <c r="L58" s="5"/>
      <c r="M58" s="5"/>
      <c r="N58" s="5"/>
      <c r="O58" s="118"/>
      <c r="P58" s="118"/>
      <c r="Q58" s="118"/>
      <c r="R58" s="118"/>
      <c r="S58" s="118"/>
      <c r="T58" s="118"/>
      <c r="U58" s="118"/>
      <c r="V58" s="118"/>
      <c r="W58" s="118"/>
      <c r="X58" s="118"/>
      <c r="Y58" s="156" t="s">
        <v>112</v>
      </c>
      <c r="Z58" s="157">
        <v>8000</v>
      </c>
      <c r="AA58" s="202">
        <v>0.105</v>
      </c>
      <c r="AB58" s="106"/>
      <c r="AC58" s="106"/>
      <c r="AD58" s="12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5"/>
      <c r="BN58" s="5"/>
      <c r="BO58" s="5"/>
      <c r="BP58" s="5"/>
      <c r="BQ58" s="5"/>
    </row>
    <row r="59" spans="1:69" ht="14.7" thickBot="1" x14ac:dyDescent="0.55000000000000004">
      <c r="A59" s="5"/>
      <c r="B59" s="224" t="s">
        <v>246</v>
      </c>
      <c r="C59" s="100">
        <v>211</v>
      </c>
      <c r="D59" s="275" t="s">
        <v>195</v>
      </c>
      <c r="E59" s="204">
        <v>0.26</v>
      </c>
      <c r="F59" s="275" t="s">
        <v>196</v>
      </c>
      <c r="G59" s="105">
        <f t="shared" si="17"/>
        <v>54.86</v>
      </c>
      <c r="H59" s="106" t="s">
        <v>9</v>
      </c>
      <c r="I59" s="191" t="str">
        <f>IF('User input'!M17=$B$94,"No", IF('User input'!M17=$B$95,"Yes", IF('User input'!M17=$B$96,"Yes", IF('User input'!M17=$B$97,"Yes", IF('User input'!M17=$B$98,"Yes", IF('User input'!M17=$B$99,"Yes"))))))</f>
        <v>No</v>
      </c>
      <c r="J59" s="191" t="str">
        <f>IF('User input'!M17=$B$94,"No", IF('User input'!M17=$B$95,"No", IF('User input'!M17=$B$96,"No", IF('User input'!M17=$B$97,"Yes", IF('User input'!M17=$B$98,"Yes", IF('User input'!M17=$B$99,"Yes"))))))</f>
        <v>No</v>
      </c>
      <c r="K59" s="107">
        <f>IF('User input'!M17=$B$94,0, IF('User input'!M17=$B$95,G59, IF('User input'!M17=$B$96,G59+$P$5, IF('User input'!M17=$B$97,G59+G59, IF('User input'!M17=$B$98,G59+$P$5+G59, IF('User input'!M17=$B$99,G59+$P$5+G59+$P$5))))))</f>
        <v>0</v>
      </c>
      <c r="L59" s="5"/>
      <c r="M59" s="5"/>
      <c r="N59" s="5"/>
      <c r="O59" s="118"/>
      <c r="P59" s="118"/>
      <c r="Q59" s="118"/>
      <c r="R59" s="118"/>
      <c r="S59" s="118"/>
      <c r="T59" s="118"/>
      <c r="U59" s="118"/>
      <c r="V59" s="118"/>
      <c r="W59" s="118"/>
      <c r="X59" s="118"/>
      <c r="Y59" s="159" t="s">
        <v>113</v>
      </c>
      <c r="Z59" s="160">
        <v>10000</v>
      </c>
      <c r="AA59" s="203">
        <v>0.1</v>
      </c>
      <c r="AB59" s="111"/>
      <c r="AC59" s="111"/>
      <c r="AD59" s="123"/>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5"/>
      <c r="BN59" s="5"/>
      <c r="BO59" s="5"/>
      <c r="BP59" s="5"/>
      <c r="BQ59" s="5"/>
    </row>
    <row r="60" spans="1:69" ht="15" thickTop="1" thickBot="1" x14ac:dyDescent="0.55000000000000004">
      <c r="A60" s="5"/>
      <c r="B60" s="224" t="s">
        <v>247</v>
      </c>
      <c r="C60" s="100">
        <v>152</v>
      </c>
      <c r="D60" s="275" t="s">
        <v>189</v>
      </c>
      <c r="E60" s="204">
        <v>0.4</v>
      </c>
      <c r="F60" s="275" t="s">
        <v>190</v>
      </c>
      <c r="G60" s="105">
        <f t="shared" ref="G60:G67" si="18">C60*E60</f>
        <v>60.800000000000004</v>
      </c>
      <c r="H60" s="106" t="s">
        <v>9</v>
      </c>
      <c r="I60" s="191" t="str">
        <f>IF('User input'!M18=$B$94,"No", IF('User input'!M18=$B$95,"Yes", IF('User input'!M18=$B$96,"Yes", IF('User input'!M18=$B$97,"Yes", IF('User input'!M18=$B$98,"Yes", IF('User input'!M18=$B$99,"Yes"))))))</f>
        <v>No</v>
      </c>
      <c r="J60" s="191" t="str">
        <f>IF('User input'!M18=$B$94,"No", IF('User input'!M18=$B$95,"No", IF('User input'!M18=$B$96,"No", IF('User input'!M18=$B$97,"Yes", IF('User input'!M18=$B$98,"Yes", IF('User input'!M18=$B$99,"Yes"))))))</f>
        <v>No</v>
      </c>
      <c r="K60" s="107">
        <f>IF('User input'!M18=$B$94,0, IF('User input'!M18=$B$95,G60, IF('User input'!M18=$B$96,G60+$P$5, IF('User input'!M18=$B$97,G60+G60, IF('User input'!M18=$B$98,G60+$P$5+G60, IF('User input'!M18=$B$99,G60+$P$5+G60+$P$5))))))</f>
        <v>0</v>
      </c>
      <c r="L60" s="5"/>
      <c r="M60" s="5"/>
      <c r="N60" s="5"/>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5"/>
      <c r="BN60" s="5"/>
      <c r="BO60" s="5"/>
      <c r="BP60" s="5"/>
      <c r="BQ60" s="5"/>
    </row>
    <row r="61" spans="1:69" ht="14.7" thickTop="1" x14ac:dyDescent="0.5">
      <c r="A61" s="5"/>
      <c r="B61" s="224" t="s">
        <v>248</v>
      </c>
      <c r="C61" s="100">
        <v>124</v>
      </c>
      <c r="D61" s="275" t="s">
        <v>195</v>
      </c>
      <c r="E61" s="204">
        <v>0.3</v>
      </c>
      <c r="F61" s="275" t="s">
        <v>196</v>
      </c>
      <c r="G61" s="105">
        <f t="shared" si="18"/>
        <v>37.199999999999996</v>
      </c>
      <c r="H61" s="106" t="s">
        <v>9</v>
      </c>
      <c r="I61" s="191" t="str">
        <f>IF('User input'!M19=$B$94,"No", IF('User input'!M19=$B$95,"Yes", IF('User input'!M19=$B$96,"Yes", IF('User input'!M19=$B$97,"Yes", IF('User input'!M19=$B$98,"Yes", IF('User input'!M19=$B$99,"Yes"))))))</f>
        <v>No</v>
      </c>
      <c r="J61" s="191" t="str">
        <f>IF('User input'!M19=$B$94,"No", IF('User input'!M19=$B$95,"No", IF('User input'!M19=$B$96,"No", IF('User input'!M19=$B$97,"Yes", IF('User input'!M19=$B$98,"Yes", IF('User input'!M19=$B$99,"Yes"))))))</f>
        <v>No</v>
      </c>
      <c r="K61" s="107">
        <f>IF('User input'!M19=$B$94,0, IF('User input'!M19=$B$95,G61, IF('User input'!M19=$B$96,G61+$P$5, IF('User input'!M19=$B$97,G61+G61, IF('User input'!M19=$B$98,G61+$P$5+G61, IF('User input'!M19=$B$99,G61+$P$5+G61+$P$5))))))</f>
        <v>0</v>
      </c>
      <c r="L61" s="5"/>
      <c r="M61" s="5"/>
      <c r="N61" s="5"/>
      <c r="O61" s="118"/>
      <c r="P61" s="118"/>
      <c r="Q61" s="118"/>
      <c r="R61" s="118"/>
      <c r="S61" s="118"/>
      <c r="T61" s="118"/>
      <c r="U61" s="118"/>
      <c r="V61" s="118"/>
      <c r="W61" s="118"/>
      <c r="X61" s="118"/>
      <c r="Y61" s="101" t="s">
        <v>46</v>
      </c>
      <c r="Z61" s="102" t="s">
        <v>27</v>
      </c>
      <c r="AA61" s="13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5"/>
      <c r="BN61" s="5"/>
      <c r="BO61" s="5"/>
      <c r="BP61" s="5"/>
      <c r="BQ61" s="5"/>
    </row>
    <row r="62" spans="1:69" x14ac:dyDescent="0.5">
      <c r="A62" s="5"/>
      <c r="B62" s="224" t="s">
        <v>249</v>
      </c>
      <c r="C62" s="100">
        <v>100</v>
      </c>
      <c r="D62" s="275" t="s">
        <v>195</v>
      </c>
      <c r="E62" s="204">
        <v>0.48</v>
      </c>
      <c r="F62" s="275" t="s">
        <v>196</v>
      </c>
      <c r="G62" s="105">
        <f t="shared" si="18"/>
        <v>48</v>
      </c>
      <c r="H62" s="106" t="s">
        <v>9</v>
      </c>
      <c r="I62" s="191" t="str">
        <f>IF('User input'!M20=$B$94,"No", IF('User input'!M20=$B$95,"Yes", IF('User input'!M20=$B$96,"Yes", IF('User input'!M20=$B$97,"Yes", IF('User input'!M20=$B$98,"Yes", IF('User input'!M20=$B$99,"Yes"))))))</f>
        <v>No</v>
      </c>
      <c r="J62" s="191" t="str">
        <f>IF('User input'!M20=$B$94,"No", IF('User input'!M20=$B$95,"No", IF('User input'!M20=$B$96,"No", IF('User input'!M20=$B$97,"Yes", IF('User input'!M20=$B$98,"Yes", IF('User input'!M20=$B$99,"Yes"))))))</f>
        <v>No</v>
      </c>
      <c r="K62" s="107">
        <f>IF('User input'!M20=$B$94,0, IF('User input'!M20=$B$95,G62, IF('User input'!M20=$B$96,G62+$P$5, IF('User input'!M20=$B$97,G62+G62, IF('User input'!M20=$B$98,G62+$P$5+G62, IF('User input'!M20=$B$99,G62+$P$5+G62+$P$5))))))</f>
        <v>0</v>
      </c>
      <c r="L62" s="5"/>
      <c r="M62" s="5"/>
      <c r="N62" s="5"/>
      <c r="O62" s="118"/>
      <c r="P62" s="118"/>
      <c r="Q62" s="118"/>
      <c r="R62" s="118"/>
      <c r="S62" s="118"/>
      <c r="T62" s="118"/>
      <c r="U62" s="118"/>
      <c r="V62" s="118"/>
      <c r="W62" s="118"/>
      <c r="X62" s="118"/>
      <c r="Y62" s="161" t="s">
        <v>68</v>
      </c>
      <c r="Z62" s="200">
        <v>0</v>
      </c>
      <c r="AA62" s="128" t="s">
        <v>10</v>
      </c>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5"/>
      <c r="BN62" s="5"/>
      <c r="BO62" s="5"/>
      <c r="BP62" s="5"/>
      <c r="BQ62" s="5"/>
    </row>
    <row r="63" spans="1:69" x14ac:dyDescent="0.5">
      <c r="A63" s="5"/>
      <c r="B63" s="224" t="s">
        <v>253</v>
      </c>
      <c r="C63" s="100">
        <v>220</v>
      </c>
      <c r="D63" s="275" t="s">
        <v>195</v>
      </c>
      <c r="E63" s="204">
        <v>0.24</v>
      </c>
      <c r="F63" s="275" t="s">
        <v>196</v>
      </c>
      <c r="G63" s="105">
        <f t="shared" si="18"/>
        <v>52.8</v>
      </c>
      <c r="H63" s="106" t="s">
        <v>9</v>
      </c>
      <c r="I63" s="191" t="str">
        <f>IF('User input'!M21=$B$94,"No", IF('User input'!M21=$B$95,"Yes", IF('User input'!M21=$B$96,"Yes", IF('User input'!M21=$B$97,"Yes", IF('User input'!M21=$B$98,"Yes", IF('User input'!M21=$B$99,"Yes"))))))</f>
        <v>No</v>
      </c>
      <c r="J63" s="191" t="str">
        <f>IF('User input'!M21=$B$94,"No", IF('User input'!M21=$B$95,"No", IF('User input'!M21=$B$96,"No", IF('User input'!M21=$B$97,"Yes", IF('User input'!M21=$B$98,"Yes", IF('User input'!M21=$B$99,"Yes"))))))</f>
        <v>No</v>
      </c>
      <c r="K63" s="107">
        <f>IF('User input'!M21=$B$94,0, IF('User input'!M21=$B$95,G63, IF('User input'!M21=$B$96,G63+$P$5, IF('User input'!M21=$B$97,G63+G63, IF('User input'!M21=$B$98,G63+$P$5+G63, IF('User input'!M21=$B$99,G63+$P$5+G63+$P$5))))))</f>
        <v>0</v>
      </c>
      <c r="L63" s="5"/>
      <c r="M63" s="5"/>
      <c r="N63" s="5"/>
      <c r="O63" s="118"/>
      <c r="P63" s="118"/>
      <c r="Q63" s="118"/>
      <c r="R63" s="118"/>
      <c r="S63" s="118"/>
      <c r="T63" s="118"/>
      <c r="U63" s="118"/>
      <c r="V63" s="118"/>
      <c r="W63" s="118"/>
      <c r="X63" s="118"/>
      <c r="Y63" s="121" t="str">
        <f>"Contractor → $"&amp;Z63</f>
        <v>Contractor → $0.02</v>
      </c>
      <c r="Z63" s="100">
        <v>0.02</v>
      </c>
      <c r="AA63" s="128" t="s">
        <v>10</v>
      </c>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5"/>
      <c r="BN63" s="5"/>
      <c r="BO63" s="5"/>
      <c r="BP63" s="5"/>
      <c r="BQ63" s="5"/>
    </row>
    <row r="64" spans="1:69" x14ac:dyDescent="0.5">
      <c r="A64" s="5"/>
      <c r="B64" s="224" t="s">
        <v>140</v>
      </c>
      <c r="C64" s="100"/>
      <c r="D64" s="275" t="s">
        <v>172</v>
      </c>
      <c r="E64" s="204"/>
      <c r="F64" s="275" t="s">
        <v>173</v>
      </c>
      <c r="G64" s="105">
        <f t="shared" si="18"/>
        <v>0</v>
      </c>
      <c r="H64" s="106" t="s">
        <v>9</v>
      </c>
      <c r="I64" s="191" t="str">
        <f>IF('User input'!M22=$B$94,"No", IF('User input'!M22=$B$95,"Yes", IF('User input'!M22=$B$96,"Yes", IF('User input'!M22=$B$97,"Yes", IF('User input'!M22=$B$98,"Yes", IF('User input'!M22=$B$99,"Yes"))))))</f>
        <v>No</v>
      </c>
      <c r="J64" s="191" t="str">
        <f>IF('User input'!M22=$B$94,"No", IF('User input'!M22=$B$95,"No", IF('User input'!M22=$B$96,"No", IF('User input'!M22=$B$97,"Yes", IF('User input'!M22=$B$98,"Yes", IF('User input'!M22=$B$99,"Yes"))))))</f>
        <v>No</v>
      </c>
      <c r="K64" s="107">
        <f>IF('User input'!M22=$B$94,0, IF('User input'!M22=$B$95,G64, IF('User input'!M22=$B$96,G64+$P$5, IF('User input'!M22=$B$97,G64+G64, IF('User input'!M22=$B$98,G64+$P$5+G64, IF('User input'!M22=$B$99,G64+$P$5+G64+$P$5))))))</f>
        <v>0</v>
      </c>
      <c r="L64" s="5"/>
      <c r="M64" s="5"/>
      <c r="N64" s="5"/>
      <c r="O64" s="118"/>
      <c r="P64" s="118"/>
      <c r="Q64" s="118"/>
      <c r="R64" s="118"/>
      <c r="S64" s="118"/>
      <c r="T64" s="118"/>
      <c r="U64" s="118"/>
      <c r="V64" s="118"/>
      <c r="W64" s="118"/>
      <c r="X64" s="118"/>
      <c r="Y64" s="124" t="str">
        <f t="shared" ref="Y64:Y69" si="19">"Farm → $"&amp;Z64</f>
        <v>Farm → $0.01</v>
      </c>
      <c r="Z64" s="205">
        <v>0.01</v>
      </c>
      <c r="AA64" s="125" t="s">
        <v>10</v>
      </c>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5"/>
      <c r="BN64" s="5"/>
      <c r="BO64" s="5"/>
      <c r="BP64" s="5"/>
      <c r="BQ64" s="5"/>
    </row>
    <row r="65" spans="1:69" x14ac:dyDescent="0.5">
      <c r="A65" s="5"/>
      <c r="B65" s="224" t="s">
        <v>140</v>
      </c>
      <c r="C65" s="100"/>
      <c r="D65" s="275" t="s">
        <v>172</v>
      </c>
      <c r="E65" s="204"/>
      <c r="F65" s="275" t="s">
        <v>173</v>
      </c>
      <c r="G65" s="105">
        <f t="shared" si="18"/>
        <v>0</v>
      </c>
      <c r="H65" s="106" t="s">
        <v>9</v>
      </c>
      <c r="I65" s="191" t="str">
        <f>IF('User input'!M23=$B$94,"No", IF('User input'!M23=$B$95,"Yes", IF('User input'!M23=$B$96,"Yes", IF('User input'!M23=$B$97,"Yes", IF('User input'!M23=$B$98,"Yes", IF('User input'!M23=$B$99,"Yes"))))))</f>
        <v>No</v>
      </c>
      <c r="J65" s="191" t="str">
        <f>IF('User input'!M23=$B$94,"No", IF('User input'!M23=$B$95,"No", IF('User input'!M23=$B$96,"No", IF('User input'!M23=$B$97,"Yes", IF('User input'!M23=$B$98,"Yes", IF('User input'!M23=$B$99,"Yes"))))))</f>
        <v>No</v>
      </c>
      <c r="K65" s="107">
        <f>IF('User input'!M23=$B$94,0, IF('User input'!M23=$B$95,G65, IF('User input'!M23=$B$96,G65+$P$5, IF('User input'!M23=$B$97,G65+G65, IF('User input'!M23=$B$98,G65+$P$5+G65, IF('User input'!M23=$B$99,G65+$P$5+G65+$P$5))))))</f>
        <v>0</v>
      </c>
      <c r="L65" s="5"/>
      <c r="M65" s="5"/>
      <c r="N65" s="5"/>
      <c r="O65" s="118"/>
      <c r="P65" s="118"/>
      <c r="Q65" s="118"/>
      <c r="R65" s="118"/>
      <c r="S65" s="118"/>
      <c r="T65" s="118"/>
      <c r="U65" s="118"/>
      <c r="V65" s="118"/>
      <c r="W65" s="118"/>
      <c r="X65" s="118"/>
      <c r="Y65" s="126" t="str">
        <f t="shared" si="19"/>
        <v>Farm → $0.02</v>
      </c>
      <c r="Z65" s="268">
        <v>0.02</v>
      </c>
      <c r="AA65" s="131" t="s">
        <v>10</v>
      </c>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5"/>
      <c r="BN65" s="5"/>
      <c r="BO65" s="5"/>
      <c r="BP65" s="5"/>
      <c r="BQ65" s="5"/>
    </row>
    <row r="66" spans="1:69" x14ac:dyDescent="0.5">
      <c r="A66" s="5"/>
      <c r="B66" s="224" t="s">
        <v>140</v>
      </c>
      <c r="C66" s="100"/>
      <c r="D66" s="275" t="s">
        <v>172</v>
      </c>
      <c r="E66" s="204"/>
      <c r="F66" s="275" t="s">
        <v>173</v>
      </c>
      <c r="G66" s="105">
        <f t="shared" si="18"/>
        <v>0</v>
      </c>
      <c r="H66" s="106" t="s">
        <v>9</v>
      </c>
      <c r="I66" s="191" t="str">
        <f>IF('User input'!M24=$B$94,"No", IF('User input'!M24=$B$95,"Yes", IF('User input'!M24=$B$96,"Yes", IF('User input'!M24=$B$97,"Yes", IF('User input'!M24=$B$98,"Yes", IF('User input'!M24=$B$99,"Yes"))))))</f>
        <v>No</v>
      </c>
      <c r="J66" s="191" t="str">
        <f>IF('User input'!M24=$B$94,"No", IF('User input'!M24=$B$95,"No", IF('User input'!M24=$B$96,"No", IF('User input'!M24=$B$97,"Yes", IF('User input'!M24=$B$98,"Yes", IF('User input'!M24=$B$99,"Yes"))))))</f>
        <v>No</v>
      </c>
      <c r="K66" s="107">
        <f>IF('User input'!M24=$B$94,0, IF('User input'!M24=$B$95,G66, IF('User input'!M24=$B$96,G66+$P$5, IF('User input'!M24=$B$97,G66+G66, IF('User input'!M24=$B$98,G66+$P$5+G66, IF('User input'!M24=$B$99,G66+$P$5+G66+$P$5))))))</f>
        <v>0</v>
      </c>
      <c r="L66" s="5"/>
      <c r="M66" s="5"/>
      <c r="N66" s="5"/>
      <c r="O66" s="118"/>
      <c r="P66" s="118"/>
      <c r="Q66" s="118"/>
      <c r="R66" s="118"/>
      <c r="S66" s="118"/>
      <c r="T66" s="118"/>
      <c r="U66" s="118"/>
      <c r="V66" s="118"/>
      <c r="W66" s="118"/>
      <c r="X66" s="118"/>
      <c r="Y66" s="126" t="str">
        <f t="shared" si="19"/>
        <v>Farm → $0.03</v>
      </c>
      <c r="Z66" s="268">
        <v>0.03</v>
      </c>
      <c r="AA66" s="131" t="s">
        <v>10</v>
      </c>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5"/>
      <c r="BN66" s="5"/>
      <c r="BO66" s="5"/>
      <c r="BP66" s="5"/>
      <c r="BQ66" s="5"/>
    </row>
    <row r="67" spans="1:69" ht="14.7" thickBot="1" x14ac:dyDescent="0.55000000000000004">
      <c r="A67" s="5"/>
      <c r="B67" s="179" t="s">
        <v>140</v>
      </c>
      <c r="C67" s="108"/>
      <c r="D67" s="276" t="s">
        <v>172</v>
      </c>
      <c r="E67" s="109"/>
      <c r="F67" s="276" t="s">
        <v>173</v>
      </c>
      <c r="G67" s="110">
        <f t="shared" si="18"/>
        <v>0</v>
      </c>
      <c r="H67" s="111" t="s">
        <v>9</v>
      </c>
      <c r="I67" s="195" t="str">
        <f>IF('User input'!M25=$B$94,"No", IF('User input'!M25=$B$95,"Yes", IF('User input'!M25=$B$96,"Yes", IF('User input'!M25=$B$97,"Yes", IF('User input'!M25=$B$98,"Yes", IF('User input'!M25=$B$99,"Yes"))))))</f>
        <v>No</v>
      </c>
      <c r="J67" s="191" t="str">
        <f>IF('User input'!M25=$B$94,"No", IF('User input'!M25=$B$95,"No", IF('User input'!M25=$B$96,"No", IF('User input'!M25=$B$97,"Yes", IF('User input'!M25=$B$98,"Yes", IF('User input'!M25=$B$99,"Yes"))))))</f>
        <v>No</v>
      </c>
      <c r="K67" s="107">
        <f>IF('User input'!M25=$B$94,0, IF('User input'!M25=$B$95,G67, IF('User input'!M25=$B$96,G67+$P$5, IF('User input'!M25=$B$97,G67+G67, IF('User input'!M25=$B$98,G67+$P$5+G67, IF('User input'!M25=$B$99,G67+$P$5+G67+$P$5))))))</f>
        <v>0</v>
      </c>
      <c r="L67" s="5"/>
      <c r="M67" s="5"/>
      <c r="N67" s="5"/>
      <c r="O67" s="118"/>
      <c r="P67" s="118"/>
      <c r="Q67" s="118"/>
      <c r="R67" s="118"/>
      <c r="S67" s="118"/>
      <c r="T67" s="118"/>
      <c r="U67" s="118"/>
      <c r="V67" s="118"/>
      <c r="W67" s="118"/>
      <c r="X67" s="118"/>
      <c r="Y67" s="126" t="str">
        <f t="shared" si="19"/>
        <v>Farm → $0.04</v>
      </c>
      <c r="Z67" s="268">
        <v>0.04</v>
      </c>
      <c r="AA67" s="131" t="s">
        <v>10</v>
      </c>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5"/>
      <c r="BN67" s="5"/>
      <c r="BO67" s="5"/>
      <c r="BP67" s="5"/>
      <c r="BQ67" s="5"/>
    </row>
    <row r="68" spans="1:69" ht="15" thickTop="1" thickBot="1" x14ac:dyDescent="0.55000000000000004">
      <c r="A68" s="5"/>
      <c r="B68" s="112"/>
      <c r="C68" s="112"/>
      <c r="D68" s="277"/>
      <c r="E68" s="112"/>
      <c r="F68" s="277"/>
      <c r="G68" s="112"/>
      <c r="H68" s="112"/>
      <c r="I68" s="112"/>
      <c r="J68" s="113" t="s">
        <v>69</v>
      </c>
      <c r="K68" s="88">
        <f>SUM(K49:K67)</f>
        <v>0</v>
      </c>
      <c r="L68" s="5"/>
      <c r="M68" s="5"/>
      <c r="N68" s="5"/>
      <c r="O68" s="118"/>
      <c r="P68" s="118"/>
      <c r="Q68" s="118"/>
      <c r="R68" s="118"/>
      <c r="S68" s="118"/>
      <c r="T68" s="118"/>
      <c r="U68" s="118"/>
      <c r="V68" s="118"/>
      <c r="W68" s="118"/>
      <c r="X68" s="118"/>
      <c r="Y68" s="126" t="str">
        <f t="shared" si="19"/>
        <v>Farm → $0.05</v>
      </c>
      <c r="Z68" s="268">
        <v>0.05</v>
      </c>
      <c r="AA68" s="131" t="s">
        <v>10</v>
      </c>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5"/>
      <c r="BN68" s="5"/>
      <c r="BO68" s="5"/>
      <c r="BP68" s="5"/>
      <c r="BQ68" s="5"/>
    </row>
    <row r="69" spans="1:69" ht="15" thickTop="1" thickBot="1" x14ac:dyDescent="0.55000000000000004">
      <c r="A69" s="5"/>
      <c r="B69" s="118"/>
      <c r="C69" s="118"/>
      <c r="D69" s="280"/>
      <c r="E69" s="118"/>
      <c r="F69" s="280"/>
      <c r="G69" s="118"/>
      <c r="H69" s="118"/>
      <c r="I69" s="118"/>
      <c r="J69" s="118"/>
      <c r="K69" s="118"/>
      <c r="L69" s="5"/>
      <c r="M69" s="5"/>
      <c r="N69" s="5"/>
      <c r="O69" s="118"/>
      <c r="P69" s="118"/>
      <c r="Q69" s="118"/>
      <c r="R69" s="118"/>
      <c r="S69" s="118"/>
      <c r="T69" s="118"/>
      <c r="U69" s="118"/>
      <c r="V69" s="118"/>
      <c r="W69" s="118"/>
      <c r="X69" s="118"/>
      <c r="Y69" s="132" t="str">
        <f t="shared" si="19"/>
        <v>Farm → $0.06</v>
      </c>
      <c r="Z69" s="269">
        <v>6.0000000000000005E-2</v>
      </c>
      <c r="AA69" s="133" t="s">
        <v>10</v>
      </c>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5"/>
      <c r="BN69" s="5"/>
      <c r="BO69" s="5"/>
      <c r="BP69" s="5"/>
      <c r="BQ69" s="5"/>
    </row>
    <row r="70" spans="1:69" ht="15" thickTop="1" thickBot="1" x14ac:dyDescent="0.55000000000000004">
      <c r="A70" s="5"/>
      <c r="B70" s="101" t="s">
        <v>4</v>
      </c>
      <c r="C70" s="266" t="s">
        <v>262</v>
      </c>
      <c r="D70" s="278"/>
      <c r="E70" s="102" t="s">
        <v>1</v>
      </c>
      <c r="F70" s="278"/>
      <c r="G70" s="102" t="s">
        <v>27</v>
      </c>
      <c r="H70" s="102"/>
      <c r="I70" s="194" t="s">
        <v>77</v>
      </c>
      <c r="J70" s="194" t="s">
        <v>78</v>
      </c>
      <c r="K70" s="103"/>
      <c r="L70" s="5"/>
      <c r="M70" s="5"/>
      <c r="N70" s="5"/>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5"/>
      <c r="BN70" s="5"/>
      <c r="BO70" s="5"/>
      <c r="BP70" s="5"/>
      <c r="BQ70" s="5"/>
    </row>
    <row r="71" spans="1:69" ht="14.7" thickTop="1" x14ac:dyDescent="0.5">
      <c r="A71" s="5"/>
      <c r="B71" s="224" t="s">
        <v>224</v>
      </c>
      <c r="C71" s="100">
        <v>49</v>
      </c>
      <c r="D71" s="275" t="s">
        <v>189</v>
      </c>
      <c r="E71" s="204">
        <v>0.64</v>
      </c>
      <c r="F71" s="275" t="s">
        <v>190</v>
      </c>
      <c r="G71" s="105">
        <f t="shared" ref="G71:G77" si="20">C71*E71</f>
        <v>31.36</v>
      </c>
      <c r="H71" s="106" t="s">
        <v>9</v>
      </c>
      <c r="I71" s="191" t="str">
        <f>IF('User input'!P7=$B$94,"No", IF('User input'!P7=$B$95,"Yes", IF('User input'!P7=$B$96,"Yes", IF('User input'!P7=$B$97,"Yes", IF('User input'!P7=$B$98,"Yes", IF('User input'!P7=$B$99,"Yes"))))))</f>
        <v>No</v>
      </c>
      <c r="J71" s="191" t="str">
        <f>IF('User input'!P7=$B$94,"No", IF('User input'!P7=$B$95,"No", IF('User input'!P7=$B$96,"No", IF('User input'!P7=$B$97,"Yes", IF('User input'!P7=$B$98,"Yes", IF('User input'!P7=$B$99,"Yes"))))))</f>
        <v>No</v>
      </c>
      <c r="K71" s="107">
        <f>IF('User input'!P7=$B$94,0, IF('User input'!P7=$B$95,G71, IF('User input'!P7=$B$96,G71+$P$5, IF('User input'!P7=$B$97,G71+G71, IF('User input'!P7=$B$98,G71+$P$5+G71, IF('User input'!P7=$B$99,G71+$P$5+G71+$P$5))))))</f>
        <v>0</v>
      </c>
      <c r="L71" s="5"/>
      <c r="M71" s="5"/>
      <c r="N71" s="5"/>
      <c r="O71" s="118"/>
      <c r="P71" s="118"/>
      <c r="Q71" s="118"/>
      <c r="R71" s="118"/>
      <c r="S71" s="118"/>
      <c r="T71" s="118"/>
      <c r="U71" s="118"/>
      <c r="V71" s="118"/>
      <c r="W71" s="118"/>
      <c r="X71" s="118"/>
      <c r="Y71" s="101" t="s">
        <v>19</v>
      </c>
      <c r="Z71" s="102" t="s">
        <v>27</v>
      </c>
      <c r="AA71" s="134"/>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5"/>
      <c r="BN71" s="5"/>
      <c r="BO71" s="5"/>
      <c r="BP71" s="5"/>
      <c r="BQ71" s="5"/>
    </row>
    <row r="72" spans="1:69" ht="14.7" thickBot="1" x14ac:dyDescent="0.55000000000000004">
      <c r="A72" s="5"/>
      <c r="B72" s="224" t="s">
        <v>220</v>
      </c>
      <c r="C72" s="100">
        <v>788</v>
      </c>
      <c r="D72" s="275" t="s">
        <v>189</v>
      </c>
      <c r="E72" s="204">
        <v>6.5000000000000002E-2</v>
      </c>
      <c r="F72" s="275" t="s">
        <v>190</v>
      </c>
      <c r="G72" s="105">
        <f t="shared" si="20"/>
        <v>51.22</v>
      </c>
      <c r="H72" s="106" t="s">
        <v>9</v>
      </c>
      <c r="I72" s="191" t="str">
        <f>IF('User input'!P8=$B$94,"No", IF('User input'!P8=$B$95,"Yes", IF('User input'!P8=$B$96,"Yes", IF('User input'!P8=$B$97,"Yes", IF('User input'!P8=$B$98,"Yes", IF('User input'!P8=$B$99,"Yes"))))))</f>
        <v>No</v>
      </c>
      <c r="J72" s="191" t="str">
        <f>IF('User input'!P8=$B$94,"No", IF('User input'!P8=$B$95,"No", IF('User input'!P8=$B$96,"No", IF('User input'!P8=$B$97,"Yes", IF('User input'!P8=$B$98,"Yes", IF('User input'!P8=$B$99,"Yes"))))))</f>
        <v>No</v>
      </c>
      <c r="K72" s="107">
        <f>IF('User input'!P8=$B$94,0, IF('User input'!P8=$B$95,G72, IF('User input'!P8=$B$96,G72+$P$5, IF('User input'!P8=$B$97,G72+G72, IF('User input'!P8=$B$98,G72+$P$5+G72, IF('User input'!P8=$B$99,G72+$P$5+G72+$P$5))))))</f>
        <v>0</v>
      </c>
      <c r="L72" s="5"/>
      <c r="M72" s="5"/>
      <c r="N72" s="5"/>
      <c r="O72" s="118"/>
      <c r="P72" s="118"/>
      <c r="Q72" s="118"/>
      <c r="R72" s="118"/>
      <c r="S72" s="118"/>
      <c r="T72" s="118"/>
      <c r="U72" s="118"/>
      <c r="V72" s="118"/>
      <c r="W72" s="118"/>
      <c r="X72" s="118"/>
      <c r="Y72" s="127" t="s">
        <v>46</v>
      </c>
      <c r="Z72" s="162">
        <f>VLOOKUP('User input'!D33,Y62:Z69,2,FALSE)</f>
        <v>0.02</v>
      </c>
      <c r="AA72" s="123" t="s">
        <v>10</v>
      </c>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5"/>
      <c r="BN72" s="5"/>
      <c r="BO72" s="5"/>
      <c r="BP72" s="5"/>
      <c r="BQ72" s="5"/>
    </row>
    <row r="73" spans="1:69" ht="14.7" thickTop="1" x14ac:dyDescent="0.5">
      <c r="A73" s="5"/>
      <c r="B73" s="224" t="s">
        <v>254</v>
      </c>
      <c r="C73" s="100">
        <v>189</v>
      </c>
      <c r="D73" s="275" t="s">
        <v>195</v>
      </c>
      <c r="E73" s="204">
        <v>0.03</v>
      </c>
      <c r="F73" s="275" t="s">
        <v>196</v>
      </c>
      <c r="G73" s="105">
        <f t="shared" si="20"/>
        <v>5.67</v>
      </c>
      <c r="H73" s="106" t="s">
        <v>9</v>
      </c>
      <c r="I73" s="191" t="str">
        <f>IF('User input'!P9=$B$94,"No", IF('User input'!P9=$B$95,"Yes", IF('User input'!P9=$B$96,"Yes", IF('User input'!P9=$B$97,"Yes", IF('User input'!P9=$B$98,"Yes", IF('User input'!P9=$B$99,"Yes"))))))</f>
        <v>No</v>
      </c>
      <c r="J73" s="191" t="str">
        <f>IF('User input'!P9=$B$94,"No", IF('User input'!P9=$B$95,"No", IF('User input'!P9=$B$96,"No", IF('User input'!P9=$B$97,"Yes", IF('User input'!P9=$B$98,"Yes", IF('User input'!P9=$B$99,"Yes"))))))</f>
        <v>No</v>
      </c>
      <c r="K73" s="107">
        <f>IF('User input'!P9=$B$94,0, IF('User input'!P9=$B$95,G73, IF('User input'!P9=$B$96,G73+$P$5, IF('User input'!P9=$B$97,G73+G73, IF('User input'!P9=$B$98,G73+$P$5+G73, IF('User input'!P9=$B$99,G73+$P$5+G73+$P$5))))))</f>
        <v>0</v>
      </c>
      <c r="L73" s="5"/>
      <c r="M73" s="5"/>
      <c r="N73" s="5"/>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5"/>
      <c r="BN73" s="5"/>
      <c r="BO73" s="5"/>
      <c r="BP73" s="5"/>
      <c r="BQ73" s="5"/>
    </row>
    <row r="74" spans="1:69" x14ac:dyDescent="0.5">
      <c r="A74" s="5"/>
      <c r="B74" s="224" t="s">
        <v>61</v>
      </c>
      <c r="C74" s="100">
        <v>433</v>
      </c>
      <c r="D74" s="275" t="s">
        <v>189</v>
      </c>
      <c r="E74" s="204">
        <v>8.09E-2</v>
      </c>
      <c r="F74" s="275" t="s">
        <v>190</v>
      </c>
      <c r="G74" s="105">
        <f t="shared" si="20"/>
        <v>35.029699999999998</v>
      </c>
      <c r="H74" s="106" t="s">
        <v>9</v>
      </c>
      <c r="I74" s="191" t="str">
        <f>IF('User input'!P10=$B$94,"No", IF('User input'!P10=$B$95,"Yes", IF('User input'!P10=$B$96,"Yes", IF('User input'!P10=$B$97,"Yes", IF('User input'!P10=$B$98,"Yes", IF('User input'!P10=$B$99,"Yes"))))))</f>
        <v>No</v>
      </c>
      <c r="J74" s="191" t="str">
        <f>IF('User input'!P10=$B$94,"No", IF('User input'!P10=$B$95,"No", IF('User input'!P10=$B$96,"No", IF('User input'!P10=$B$97,"Yes", IF('User input'!P10=$B$98,"Yes", IF('User input'!P10=$B$99,"Yes"))))))</f>
        <v>No</v>
      </c>
      <c r="K74" s="107">
        <f>IF('User input'!P10=$B$94,0, IF('User input'!P10=$B$95,G74, IF('User input'!P10=$B$96,G74+$P$5, IF('User input'!P10=$B$97,G74+G74, IF('User input'!P10=$B$98,G74+$P$5+G74, IF('User input'!P10=$B$99,G74+$P$5+G74+$P$5))))))</f>
        <v>0</v>
      </c>
      <c r="L74" s="5"/>
      <c r="M74" s="5"/>
      <c r="N74" s="5"/>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5"/>
      <c r="BN74" s="5"/>
      <c r="BO74" s="5"/>
      <c r="BP74" s="5"/>
      <c r="BQ74" s="5"/>
    </row>
    <row r="75" spans="1:69" x14ac:dyDescent="0.5">
      <c r="A75" s="5"/>
      <c r="B75" s="224" t="s">
        <v>221</v>
      </c>
      <c r="C75" s="100">
        <v>819</v>
      </c>
      <c r="D75" s="275" t="s">
        <v>195</v>
      </c>
      <c r="E75" s="204">
        <v>7.3599999999999999E-2</v>
      </c>
      <c r="F75" s="275" t="s">
        <v>196</v>
      </c>
      <c r="G75" s="105">
        <f t="shared" si="20"/>
        <v>60.278399999999998</v>
      </c>
      <c r="H75" s="106" t="s">
        <v>9</v>
      </c>
      <c r="I75" s="191" t="str">
        <f>IF('User input'!P11=$B$94,"No", IF('User input'!P11=$B$95,"Yes", IF('User input'!P11=$B$96,"Yes", IF('User input'!P11=$B$97,"Yes", IF('User input'!P11=$B$98,"Yes", IF('User input'!P11=$B$99,"Yes"))))))</f>
        <v>No</v>
      </c>
      <c r="J75" s="191" t="str">
        <f>IF('User input'!P11=$B$94,"No", IF('User input'!P11=$B$95,"No", IF('User input'!P11=$B$96,"No", IF('User input'!P11=$B$97,"Yes", IF('User input'!P11=$B$98,"Yes", IF('User input'!P11=$B$99,"Yes"))))))</f>
        <v>No</v>
      </c>
      <c r="K75" s="107">
        <f>IF('User input'!P11=$B$94,0, IF('User input'!P11=$B$95,G75, IF('User input'!P11=$B$96,G75+$P$5, IF('User input'!P11=$B$97,G75+G75, IF('User input'!P11=$B$98,G75+$P$5+G75, IF('User input'!P11=$B$99,G75+$P$5+G75+$P$5))))))</f>
        <v>0</v>
      </c>
      <c r="L75" s="5"/>
      <c r="M75" s="5"/>
      <c r="N75" s="5"/>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5"/>
      <c r="BN75" s="5"/>
      <c r="BO75" s="5"/>
      <c r="BP75" s="5"/>
      <c r="BQ75" s="5"/>
    </row>
    <row r="76" spans="1:69" ht="14.25" customHeight="1" x14ac:dyDescent="0.5">
      <c r="A76" s="5"/>
      <c r="B76" s="253" t="s">
        <v>222</v>
      </c>
      <c r="C76" s="205">
        <v>28</v>
      </c>
      <c r="D76" s="275" t="s">
        <v>195</v>
      </c>
      <c r="E76" s="206">
        <v>1.62</v>
      </c>
      <c r="F76" s="275" t="s">
        <v>196</v>
      </c>
      <c r="G76" s="115">
        <f t="shared" si="20"/>
        <v>45.36</v>
      </c>
      <c r="H76" s="117" t="s">
        <v>9</v>
      </c>
      <c r="I76" s="191" t="str">
        <f>IF('User input'!P12=$B$94,"No", IF('User input'!P12=$B$95,"Yes", IF('User input'!P12=$B$96,"Yes", IF('User input'!P12=$B$97,"Yes", IF('User input'!P12=$B$98,"Yes", IF('User input'!P12=$B$99,"Yes"))))))</f>
        <v>No</v>
      </c>
      <c r="J76" s="191" t="str">
        <f>IF('User input'!P12=$B$94,"No", IF('User input'!P12=$B$95,"No", IF('User input'!P12=$B$96,"No", IF('User input'!P12=$B$97,"Yes", IF('User input'!P12=$B$98,"Yes", IF('User input'!P12=$B$99,"Yes"))))))</f>
        <v>No</v>
      </c>
      <c r="K76" s="107">
        <f>IF('User input'!P12=$B$94,0, IF('User input'!P12=$B$95,G76, IF('User input'!P12=$B$96,G76+$P$5, IF('User input'!P12=$B$97,G76+G76, IF('User input'!P12=$B$98,G76+$P$5+G76, IF('User input'!P12=$B$99,G76+$P$5+G76+$P$5))))))</f>
        <v>0</v>
      </c>
      <c r="L76" s="5"/>
      <c r="M76" s="5"/>
      <c r="N76" s="5"/>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5"/>
      <c r="BN76" s="5"/>
      <c r="BO76" s="5"/>
      <c r="BP76" s="5"/>
      <c r="BQ76" s="5"/>
    </row>
    <row r="77" spans="1:69" x14ac:dyDescent="0.5">
      <c r="A77" s="5"/>
      <c r="B77" s="224" t="s">
        <v>255</v>
      </c>
      <c r="C77" s="100">
        <v>83</v>
      </c>
      <c r="D77" s="275" t="s">
        <v>195</v>
      </c>
      <c r="E77" s="204">
        <v>0.56999999999999995</v>
      </c>
      <c r="F77" s="275" t="s">
        <v>196</v>
      </c>
      <c r="G77" s="105">
        <f t="shared" si="20"/>
        <v>47.309999999999995</v>
      </c>
      <c r="H77" s="106" t="s">
        <v>9</v>
      </c>
      <c r="I77" s="191" t="str">
        <f>IF('User input'!P13=$B$94,"No", IF('User input'!P13=$B$95,"Yes", IF('User input'!P13=$B$96,"Yes", IF('User input'!P13=$B$97,"Yes", IF('User input'!P13=$B$98,"Yes", IF('User input'!P13=$B$99,"Yes"))))))</f>
        <v>No</v>
      </c>
      <c r="J77" s="191" t="str">
        <f>IF('User input'!P13=$B$94,"No", IF('User input'!P13=$B$95,"No", IF('User input'!P13=$B$96,"No", IF('User input'!P13=$B$97,"Yes", IF('User input'!P13=$B$98,"Yes", IF('User input'!P13=$B$99,"Yes"))))))</f>
        <v>No</v>
      </c>
      <c r="K77" s="107">
        <f>IF('User input'!P13=$B$94,0, IF('User input'!P13=$B$95,G77, IF('User input'!P13=$B$96,G77+$P$5, IF('User input'!P13=$B$97,G77+G77, IF('User input'!P13=$B$98,G77+$P$5+G77, IF('User input'!P13=$B$99,G77+$P$5+G77+$P$5))))))</f>
        <v>0</v>
      </c>
      <c r="L77" s="5"/>
      <c r="M77" s="5"/>
      <c r="N77" s="5"/>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5"/>
      <c r="BN77" s="5"/>
      <c r="BO77" s="5"/>
      <c r="BP77" s="5"/>
      <c r="BQ77" s="5"/>
    </row>
    <row r="78" spans="1:69" x14ac:dyDescent="0.5">
      <c r="A78" s="5"/>
      <c r="B78" s="224" t="s">
        <v>256</v>
      </c>
      <c r="C78" s="100">
        <v>34</v>
      </c>
      <c r="D78" s="275" t="s">
        <v>195</v>
      </c>
      <c r="E78" s="204">
        <v>1</v>
      </c>
      <c r="F78" s="275" t="s">
        <v>196</v>
      </c>
      <c r="G78" s="105">
        <f t="shared" ref="G78:G89" si="21">C78*E78</f>
        <v>34</v>
      </c>
      <c r="H78" s="106" t="s">
        <v>9</v>
      </c>
      <c r="I78" s="191" t="str">
        <f>IF('User input'!P14=$B$94,"No", IF('User input'!P14=$B$95,"Yes", IF('User input'!P14=$B$96,"Yes", IF('User input'!P14=$B$97,"Yes", IF('User input'!P14=$B$98,"Yes", IF('User input'!P14=$B$99,"Yes"))))))</f>
        <v>No</v>
      </c>
      <c r="J78" s="191" t="str">
        <f>IF('User input'!P14=$B$94,"No", IF('User input'!P14=$B$95,"No", IF('User input'!P14=$B$96,"No", IF('User input'!P14=$B$97,"Yes", IF('User input'!P14=$B$98,"Yes", IF('User input'!P14=$B$99,"Yes"))))))</f>
        <v>No</v>
      </c>
      <c r="K78" s="107">
        <f>IF('User input'!P14=$B$94,0, IF('User input'!P14=$B$95,G78, IF('User input'!P14=$B$96,G78+$P$5, IF('User input'!P14=$B$97,G78+G78, IF('User input'!P14=$B$98,G78+$P$5+G78, IF('User input'!P14=$B$99,G78+$P$5+G78+$P$5))))))</f>
        <v>0</v>
      </c>
      <c r="L78" s="5"/>
      <c r="M78" s="5"/>
      <c r="N78" s="5"/>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5"/>
      <c r="BN78" s="5"/>
      <c r="BO78" s="5"/>
      <c r="BP78" s="5"/>
      <c r="BQ78" s="5"/>
    </row>
    <row r="79" spans="1:69" x14ac:dyDescent="0.5">
      <c r="A79" s="5"/>
      <c r="B79" s="224" t="s">
        <v>140</v>
      </c>
      <c r="C79" s="100"/>
      <c r="D79" s="275" t="s">
        <v>172</v>
      </c>
      <c r="E79" s="204"/>
      <c r="F79" s="275" t="s">
        <v>173</v>
      </c>
      <c r="G79" s="105">
        <f t="shared" si="21"/>
        <v>0</v>
      </c>
      <c r="H79" s="106" t="s">
        <v>9</v>
      </c>
      <c r="I79" s="191" t="str">
        <f>IF('User input'!P15=$B$94,"No", IF('User input'!P15=$B$95,"Yes", IF('User input'!P15=$B$96,"Yes", IF('User input'!P15=$B$97,"Yes", IF('User input'!P15=$B$98,"Yes", IF('User input'!P15=$B$99,"Yes"))))))</f>
        <v>No</v>
      </c>
      <c r="J79" s="191" t="str">
        <f>IF('User input'!P15=$B$94,"No", IF('User input'!P15=$B$95,"No", IF('User input'!P15=$B$96,"No", IF('User input'!P15=$B$97,"Yes", IF('User input'!P15=$B$98,"Yes", IF('User input'!P15=$B$99,"Yes"))))))</f>
        <v>No</v>
      </c>
      <c r="K79" s="107">
        <f>IF('User input'!P15=$B$94,0, IF('User input'!P15=$B$95,G79, IF('User input'!P15=$B$96,G79+$P$5, IF('User input'!P15=$B$97,G79+G79, IF('User input'!P15=$B$98,G79+$P$5+G79, IF('User input'!P15=$B$99,G79+$P$5+G79+$P$5))))))</f>
        <v>0</v>
      </c>
      <c r="L79" s="5"/>
      <c r="M79" s="5"/>
      <c r="N79" s="5"/>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5"/>
      <c r="BN79" s="5"/>
      <c r="BO79" s="5"/>
      <c r="BP79" s="5"/>
      <c r="BQ79" s="5"/>
    </row>
    <row r="80" spans="1:69" x14ac:dyDescent="0.5">
      <c r="A80" s="5"/>
      <c r="B80" s="224" t="s">
        <v>140</v>
      </c>
      <c r="C80" s="100"/>
      <c r="D80" s="275" t="s">
        <v>172</v>
      </c>
      <c r="E80" s="204"/>
      <c r="F80" s="275" t="s">
        <v>173</v>
      </c>
      <c r="G80" s="105">
        <f t="shared" si="21"/>
        <v>0</v>
      </c>
      <c r="H80" s="106" t="s">
        <v>9</v>
      </c>
      <c r="I80" s="191" t="str">
        <f>IF('User input'!P16=$B$94,"No", IF('User input'!P16=$B$95,"Yes", IF('User input'!P16=$B$96,"Yes", IF('User input'!P16=$B$97,"Yes", IF('User input'!P16=$B$98,"Yes", IF('User input'!P16=$B$99,"Yes"))))))</f>
        <v>No</v>
      </c>
      <c r="J80" s="191" t="str">
        <f>IF('User input'!P16=$B$94,"No", IF('User input'!P16=$B$95,"No", IF('User input'!P16=$B$96,"No", IF('User input'!P16=$B$97,"Yes", IF('User input'!P16=$B$98,"Yes", IF('User input'!P16=$B$99,"Yes"))))))</f>
        <v>No</v>
      </c>
      <c r="K80" s="107">
        <f>IF('User input'!P16=$B$94,0, IF('User input'!P16=$B$95,G80, IF('User input'!P16=$B$96,G80+$P$5, IF('User input'!P16=$B$97,G80+G80, IF('User input'!P16=$B$98,G80+$P$5+G80, IF('User input'!P16=$B$99,G80+$P$5+G80+$P$5))))))</f>
        <v>0</v>
      </c>
      <c r="L80" s="5"/>
      <c r="M80" s="5"/>
      <c r="N80" s="5"/>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5"/>
      <c r="BN80" s="5"/>
      <c r="BO80" s="5"/>
      <c r="BP80" s="5"/>
      <c r="BQ80" s="5"/>
    </row>
    <row r="81" spans="1:69" x14ac:dyDescent="0.5">
      <c r="A81" s="5"/>
      <c r="B81" s="224" t="s">
        <v>140</v>
      </c>
      <c r="C81" s="100"/>
      <c r="D81" s="275" t="s">
        <v>172</v>
      </c>
      <c r="E81" s="204"/>
      <c r="F81" s="275" t="s">
        <v>173</v>
      </c>
      <c r="G81" s="105">
        <f t="shared" si="21"/>
        <v>0</v>
      </c>
      <c r="H81" s="106" t="s">
        <v>9</v>
      </c>
      <c r="I81" s="191" t="str">
        <f>IF('User input'!P17=$B$94,"No", IF('User input'!P17=$B$95,"Yes", IF('User input'!P17=$B$96,"Yes", IF('User input'!P17=$B$97,"Yes", IF('User input'!P17=$B$98,"Yes", IF('User input'!P17=$B$99,"Yes"))))))</f>
        <v>No</v>
      </c>
      <c r="J81" s="191" t="str">
        <f>IF('User input'!P17=$B$94,"No", IF('User input'!P17=$B$95,"No", IF('User input'!P17=$B$96,"No", IF('User input'!P17=$B$97,"Yes", IF('User input'!P17=$B$98,"Yes", IF('User input'!P17=$B$99,"Yes"))))))</f>
        <v>No</v>
      </c>
      <c r="K81" s="107">
        <f>IF('User input'!P17=$B$94,0, IF('User input'!P17=$B$95,G81, IF('User input'!P17=$B$96,G81+$P$5, IF('User input'!P17=$B$97,G81+G81, IF('User input'!P17=$B$98,G81+$P$5+G81, IF('User input'!P17=$B$99,G81+$P$5+G81+$P$5))))))</f>
        <v>0</v>
      </c>
      <c r="L81" s="5"/>
      <c r="M81" s="5"/>
      <c r="N81" s="5"/>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5"/>
      <c r="BN81" s="5"/>
      <c r="BO81" s="5"/>
      <c r="BP81" s="5"/>
      <c r="BQ81" s="5"/>
    </row>
    <row r="82" spans="1:69" x14ac:dyDescent="0.5">
      <c r="A82" s="5"/>
      <c r="B82" s="224" t="s">
        <v>140</v>
      </c>
      <c r="C82" s="100"/>
      <c r="D82" s="275" t="s">
        <v>172</v>
      </c>
      <c r="E82" s="204"/>
      <c r="F82" s="275" t="s">
        <v>173</v>
      </c>
      <c r="G82" s="105">
        <f t="shared" si="21"/>
        <v>0</v>
      </c>
      <c r="H82" s="106" t="s">
        <v>9</v>
      </c>
      <c r="I82" s="191" t="str">
        <f>IF('User input'!P18=$B$94,"No", IF('User input'!P18=$B$95,"Yes", IF('User input'!P18=$B$96,"Yes", IF('User input'!P18=$B$97,"Yes", IF('User input'!P18=$B$98,"Yes", IF('User input'!P18=$B$99,"Yes"))))))</f>
        <v>No</v>
      </c>
      <c r="J82" s="191" t="str">
        <f>IF('User input'!P18=$B$94,"No", IF('User input'!P18=$B$95,"No", IF('User input'!P18=$B$96,"No", IF('User input'!P18=$B$97,"Yes", IF('User input'!P18=$B$98,"Yes", IF('User input'!P18=$B$99,"Yes"))))))</f>
        <v>No</v>
      </c>
      <c r="K82" s="107">
        <f>IF('User input'!P18=$B$94,0, IF('User input'!P18=$B$95,G82, IF('User input'!P18=$B$96,G82+$P$5, IF('User input'!P18=$B$97,G82+G82, IF('User input'!P18=$B$98,G82+$P$5+G82, IF('User input'!P18=$B$99,G82+$P$5+G82+$P$5))))))</f>
        <v>0</v>
      </c>
      <c r="L82" s="5"/>
      <c r="M82" s="5"/>
      <c r="N82" s="5"/>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5"/>
      <c r="BN82" s="5"/>
      <c r="BO82" s="5"/>
      <c r="BP82" s="5"/>
      <c r="BQ82" s="5"/>
    </row>
    <row r="83" spans="1:69" x14ac:dyDescent="0.5">
      <c r="A83" s="5"/>
      <c r="B83" s="224" t="s">
        <v>140</v>
      </c>
      <c r="C83" s="100"/>
      <c r="D83" s="275" t="s">
        <v>172</v>
      </c>
      <c r="E83" s="204"/>
      <c r="F83" s="275" t="s">
        <v>173</v>
      </c>
      <c r="G83" s="105">
        <f t="shared" si="21"/>
        <v>0</v>
      </c>
      <c r="H83" s="106" t="s">
        <v>9</v>
      </c>
      <c r="I83" s="191" t="str">
        <f>IF('User input'!P19=$B$94,"No", IF('User input'!P19=$B$95,"Yes", IF('User input'!P19=$B$96,"Yes", IF('User input'!P19=$B$97,"Yes", IF('User input'!P19=$B$98,"Yes", IF('User input'!P19=$B$99,"Yes"))))))</f>
        <v>No</v>
      </c>
      <c r="J83" s="191" t="str">
        <f>IF('User input'!P19=$B$94,"No", IF('User input'!P19=$B$95,"No", IF('User input'!P19=$B$96,"No", IF('User input'!P19=$B$97,"Yes", IF('User input'!P19=$B$98,"Yes", IF('User input'!P19=$B$99,"Yes"))))))</f>
        <v>No</v>
      </c>
      <c r="K83" s="107">
        <f>IF('User input'!P19=$B$94,0, IF('User input'!P19=$B$95,G83, IF('User input'!P19=$B$96,G83+$P$5, IF('User input'!P19=$B$97,G83+G83, IF('User input'!P19=$B$98,G83+$P$5+G83, IF('User input'!P19=$B$99,G83+$P$5+G83+$P$5))))))</f>
        <v>0</v>
      </c>
      <c r="L83" s="5"/>
      <c r="M83" s="5"/>
      <c r="N83" s="5"/>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5"/>
      <c r="BN83" s="5"/>
      <c r="BO83" s="5"/>
      <c r="BP83" s="5"/>
      <c r="BQ83" s="5"/>
    </row>
    <row r="84" spans="1:69" x14ac:dyDescent="0.5">
      <c r="A84" s="5"/>
      <c r="B84" s="224" t="s">
        <v>140</v>
      </c>
      <c r="C84" s="100"/>
      <c r="D84" s="275" t="s">
        <v>172</v>
      </c>
      <c r="E84" s="204"/>
      <c r="F84" s="275" t="s">
        <v>173</v>
      </c>
      <c r="G84" s="105">
        <f t="shared" si="21"/>
        <v>0</v>
      </c>
      <c r="H84" s="106" t="s">
        <v>9</v>
      </c>
      <c r="I84" s="191" t="str">
        <f>IF('User input'!P20=$B$94,"No", IF('User input'!P20=$B$95,"Yes", IF('User input'!P20=$B$96,"Yes", IF('User input'!P20=$B$97,"Yes", IF('User input'!P20=$B$98,"Yes", IF('User input'!P20=$B$99,"Yes"))))))</f>
        <v>No</v>
      </c>
      <c r="J84" s="191" t="str">
        <f>IF('User input'!P20=$B$94,"No", IF('User input'!P20=$B$95,"No", IF('User input'!P20=$B$96,"No", IF('User input'!P20=$B$97,"Yes", IF('User input'!P20=$B$98,"Yes", IF('User input'!P20=$B$99,"Yes"))))))</f>
        <v>No</v>
      </c>
      <c r="K84" s="107">
        <f>IF('User input'!P20=$B$94,0, IF('User input'!P20=$B$95,G84, IF('User input'!P20=$B$96,G84+$P$5, IF('User input'!P20=$B$97,G84+G84, IF('User input'!P20=$B$98,G84+$P$5+G84, IF('User input'!P20=$B$99,G84+$P$5+G84+$P$5))))))</f>
        <v>0</v>
      </c>
      <c r="L84" s="5"/>
      <c r="M84" s="5"/>
      <c r="N84" s="5"/>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5"/>
      <c r="BN84" s="5"/>
      <c r="BO84" s="5"/>
      <c r="BP84" s="5"/>
      <c r="BQ84" s="5"/>
    </row>
    <row r="85" spans="1:69" x14ac:dyDescent="0.5">
      <c r="A85" s="5"/>
      <c r="B85" s="224" t="s">
        <v>140</v>
      </c>
      <c r="C85" s="100"/>
      <c r="D85" s="275" t="s">
        <v>172</v>
      </c>
      <c r="E85" s="204"/>
      <c r="F85" s="275" t="s">
        <v>173</v>
      </c>
      <c r="G85" s="105">
        <f t="shared" si="21"/>
        <v>0</v>
      </c>
      <c r="H85" s="106" t="s">
        <v>9</v>
      </c>
      <c r="I85" s="191" t="str">
        <f>IF('User input'!P21=$B$94,"No", IF('User input'!P21=$B$95,"Yes", IF('User input'!P21=$B$96,"Yes", IF('User input'!P21=$B$97,"Yes", IF('User input'!P21=$B$98,"Yes", IF('User input'!P21=$B$99,"Yes"))))))</f>
        <v>No</v>
      </c>
      <c r="J85" s="191" t="str">
        <f>IF('User input'!P21=$B$94,"No", IF('User input'!P21=$B$95,"No", IF('User input'!P21=$B$96,"No", IF('User input'!P21=$B$97,"Yes", IF('User input'!P21=$B$98,"Yes", IF('User input'!P21=$B$99,"Yes"))))))</f>
        <v>No</v>
      </c>
      <c r="K85" s="107">
        <f>IF('User input'!P21=$B$94,0, IF('User input'!P21=$B$95,G85, IF('User input'!P21=$B$96,G85+$P$5, IF('User input'!P21=$B$97,G85+G85, IF('User input'!P21=$B$98,G85+$P$5+G85, IF('User input'!P21=$B$99,G85+$P$5+G85+$P$5))))))</f>
        <v>0</v>
      </c>
      <c r="L85" s="5"/>
      <c r="M85" s="5"/>
      <c r="N85" s="5"/>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5"/>
      <c r="BN85" s="5"/>
      <c r="BO85" s="5"/>
      <c r="BP85" s="5"/>
      <c r="BQ85" s="5"/>
    </row>
    <row r="86" spans="1:69" x14ac:dyDescent="0.5">
      <c r="A86" s="5"/>
      <c r="B86" s="224" t="s">
        <v>140</v>
      </c>
      <c r="C86" s="100"/>
      <c r="D86" s="275" t="s">
        <v>172</v>
      </c>
      <c r="E86" s="204"/>
      <c r="F86" s="275" t="s">
        <v>173</v>
      </c>
      <c r="G86" s="105">
        <f t="shared" si="21"/>
        <v>0</v>
      </c>
      <c r="H86" s="106" t="s">
        <v>9</v>
      </c>
      <c r="I86" s="191" t="str">
        <f>IF('User input'!P22=$B$94,"No", IF('User input'!P22=$B$95,"Yes", IF('User input'!P22=$B$96,"Yes", IF('User input'!P22=$B$97,"Yes", IF('User input'!P22=$B$98,"Yes", IF('User input'!P22=$B$99,"Yes"))))))</f>
        <v>No</v>
      </c>
      <c r="J86" s="191" t="str">
        <f>IF('User input'!P22=$B$94,"No", IF('User input'!P22=$B$95,"No", IF('User input'!P22=$B$96,"No", IF('User input'!P22=$B$97,"Yes", IF('User input'!P22=$B$98,"Yes", IF('User input'!P22=$B$99,"Yes"))))))</f>
        <v>No</v>
      </c>
      <c r="K86" s="107">
        <f>IF('User input'!P22=$B$94,0, IF('User input'!P22=$B$95,G86, IF('User input'!P22=$B$96,G86+$P$5, IF('User input'!P22=$B$97,G86+G86, IF('User input'!P22=$B$98,G86+$P$5+G86, IF('User input'!P22=$B$99,G86+$P$5+G86+$P$5))))))</f>
        <v>0</v>
      </c>
      <c r="L86" s="5"/>
      <c r="M86" s="5"/>
      <c r="N86" s="5"/>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5"/>
      <c r="BN86" s="5"/>
      <c r="BO86" s="5"/>
      <c r="BP86" s="5"/>
      <c r="BQ86" s="5"/>
    </row>
    <row r="87" spans="1:69" x14ac:dyDescent="0.5">
      <c r="A87" s="5"/>
      <c r="B87" s="224" t="s">
        <v>140</v>
      </c>
      <c r="C87" s="100"/>
      <c r="D87" s="275" t="s">
        <v>172</v>
      </c>
      <c r="E87" s="204"/>
      <c r="F87" s="275" t="s">
        <v>173</v>
      </c>
      <c r="G87" s="105">
        <f t="shared" si="21"/>
        <v>0</v>
      </c>
      <c r="H87" s="106" t="s">
        <v>9</v>
      </c>
      <c r="I87" s="191" t="str">
        <f>IF('User input'!P23=$B$94,"No", IF('User input'!P23=$B$95,"Yes", IF('User input'!P23=$B$96,"Yes", IF('User input'!P23=$B$97,"Yes", IF('User input'!P23=$B$98,"Yes", IF('User input'!P23=$B$99,"Yes"))))))</f>
        <v>No</v>
      </c>
      <c r="J87" s="191" t="str">
        <f>IF('User input'!P23=$B$94,"No", IF('User input'!P23=$B$95,"No", IF('User input'!P23=$B$96,"No", IF('User input'!P23=$B$97,"Yes", IF('User input'!P23=$B$98,"Yes", IF('User input'!P23=$B$99,"Yes"))))))</f>
        <v>No</v>
      </c>
      <c r="K87" s="107">
        <f>IF('User input'!P23=$B$94,0, IF('User input'!P23=$B$95,G87, IF('User input'!P23=$B$96,G87+$P$5, IF('User input'!P23=$B$97,G87+G87, IF('User input'!P23=$B$98,G87+$P$5+G87, IF('User input'!P23=$B$99,G87+$P$5+G87+$P$5))))))</f>
        <v>0</v>
      </c>
      <c r="L87" s="5"/>
      <c r="M87" s="5"/>
      <c r="N87" s="5"/>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5"/>
      <c r="BN87" s="5"/>
      <c r="BO87" s="5"/>
      <c r="BP87" s="5"/>
      <c r="BQ87" s="5"/>
    </row>
    <row r="88" spans="1:69" x14ac:dyDescent="0.5">
      <c r="A88" s="5"/>
      <c r="B88" s="224" t="s">
        <v>140</v>
      </c>
      <c r="C88" s="100"/>
      <c r="D88" s="275" t="s">
        <v>172</v>
      </c>
      <c r="E88" s="204"/>
      <c r="F88" s="275" t="s">
        <v>173</v>
      </c>
      <c r="G88" s="105">
        <f t="shared" si="21"/>
        <v>0</v>
      </c>
      <c r="H88" s="106" t="s">
        <v>9</v>
      </c>
      <c r="I88" s="191" t="str">
        <f>IF('User input'!P24=$B$94,"No", IF('User input'!P24=$B$95,"Yes", IF('User input'!P24=$B$96,"Yes", IF('User input'!P24=$B$97,"Yes", IF('User input'!P24=$B$98,"Yes", IF('User input'!P24=$B$99,"Yes"))))))</f>
        <v>No</v>
      </c>
      <c r="J88" s="191" t="str">
        <f>IF('User input'!P24=$B$94,"No", IF('User input'!P24=$B$95,"No", IF('User input'!P24=$B$96,"No", IF('User input'!P24=$B$97,"Yes", IF('User input'!P24=$B$98,"Yes", IF('User input'!P24=$B$99,"Yes"))))))</f>
        <v>No</v>
      </c>
      <c r="K88" s="107">
        <f>IF('User input'!P24=$B$94,0, IF('User input'!P24=$B$95,G88, IF('User input'!P24=$B$96,G88+$P$5, IF('User input'!P24=$B$97,G88+G88, IF('User input'!P24=$B$98,G88+$P$5+G88, IF('User input'!P24=$B$99,G88+$P$5+G88+$P$5))))))</f>
        <v>0</v>
      </c>
      <c r="L88" s="5"/>
      <c r="M88" s="5"/>
      <c r="N88" s="5"/>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5"/>
      <c r="BN88" s="5"/>
      <c r="BO88" s="5"/>
      <c r="BP88" s="5"/>
      <c r="BQ88" s="5"/>
    </row>
    <row r="89" spans="1:69" ht="14.7" thickBot="1" x14ac:dyDescent="0.55000000000000004">
      <c r="A89" s="5"/>
      <c r="B89" s="179" t="s">
        <v>140</v>
      </c>
      <c r="C89" s="108"/>
      <c r="D89" s="276" t="s">
        <v>172</v>
      </c>
      <c r="E89" s="109"/>
      <c r="F89" s="276" t="s">
        <v>173</v>
      </c>
      <c r="G89" s="110">
        <f t="shared" si="21"/>
        <v>0</v>
      </c>
      <c r="H89" s="111" t="s">
        <v>9</v>
      </c>
      <c r="I89" s="195" t="str">
        <f>IF('User input'!P25=$B$94,"No", IF('User input'!P25=$B$95,"Yes", IF('User input'!P25=$B$96,"Yes", IF('User input'!P25=$B$97,"Yes", IF('User input'!P25=$B$98,"Yes", IF('User input'!P25=$B$99,"Yes"))))))</f>
        <v>No</v>
      </c>
      <c r="J89" s="191" t="str">
        <f>IF('User input'!P25=$B$94,"No", IF('User input'!P25=$B$95,"No", IF('User input'!P25=$B$96,"No", IF('User input'!P25=$B$97,"Yes", IF('User input'!P25=$B$98,"Yes", IF('User input'!P25=$B$99,"Yes"))))))</f>
        <v>No</v>
      </c>
      <c r="K89" s="107">
        <f>IF('User input'!P25=$B$94,0, IF('User input'!P25=$B$95,G89, IF('User input'!P25=$B$96,G89+$P$5, IF('User input'!P25=$B$97,G89+G89, IF('User input'!P25=$B$98,G89+$P$5+G89, IF('User input'!P25=$B$99,G89+$P$5+G89+$P$5))))))</f>
        <v>0</v>
      </c>
      <c r="L89" s="5"/>
      <c r="M89" s="5"/>
      <c r="N89" s="5"/>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5"/>
      <c r="BN89" s="5"/>
      <c r="BO89" s="5"/>
      <c r="BP89" s="5"/>
      <c r="BQ89" s="5"/>
    </row>
    <row r="90" spans="1:69" ht="15" thickTop="1" thickBot="1" x14ac:dyDescent="0.55000000000000004">
      <c r="A90" s="5"/>
      <c r="B90" s="112"/>
      <c r="C90" s="112"/>
      <c r="D90" s="112"/>
      <c r="E90" s="112"/>
      <c r="F90" s="112"/>
      <c r="G90" s="112"/>
      <c r="H90" s="112"/>
      <c r="I90" s="112"/>
      <c r="J90" s="113" t="s">
        <v>69</v>
      </c>
      <c r="K90" s="88">
        <f>SUM(K71:K89)</f>
        <v>0</v>
      </c>
      <c r="L90" s="5"/>
      <c r="M90" s="5"/>
      <c r="N90" s="5"/>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5"/>
      <c r="BN90" s="5"/>
      <c r="BO90" s="5"/>
      <c r="BP90" s="5"/>
      <c r="BQ90" s="5"/>
    </row>
    <row r="91" spans="1:69" ht="15" thickTop="1" thickBot="1" x14ac:dyDescent="0.55000000000000004">
      <c r="A91" s="5"/>
      <c r="B91" s="5"/>
      <c r="C91" s="5"/>
      <c r="D91" s="5"/>
      <c r="E91" s="5"/>
      <c r="F91" s="5"/>
      <c r="G91" s="5"/>
      <c r="H91" s="5"/>
      <c r="I91" s="5"/>
      <c r="J91" s="5"/>
      <c r="K91" s="5"/>
      <c r="L91" s="5"/>
      <c r="M91" s="5"/>
      <c r="N91" s="5"/>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5"/>
      <c r="BN91" s="5"/>
      <c r="BO91" s="5"/>
      <c r="BP91" s="5"/>
      <c r="BQ91" s="5"/>
    </row>
    <row r="92" spans="1:69" ht="14.7" thickTop="1" x14ac:dyDescent="0.5">
      <c r="A92" s="5"/>
      <c r="B92" s="370" t="s">
        <v>150</v>
      </c>
      <c r="C92" s="371"/>
      <c r="D92" s="371"/>
      <c r="E92" s="371"/>
      <c r="F92" s="371"/>
      <c r="G92" s="371"/>
      <c r="H92" s="371"/>
      <c r="I92" s="371"/>
      <c r="J92" s="371"/>
      <c r="K92" s="372"/>
      <c r="L92" s="5"/>
      <c r="M92" s="5"/>
      <c r="N92" s="5"/>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5"/>
      <c r="BN92" s="5"/>
      <c r="BO92" s="5"/>
      <c r="BP92" s="5"/>
      <c r="BQ92" s="5"/>
    </row>
    <row r="93" spans="1:69" x14ac:dyDescent="0.5">
      <c r="A93" s="5"/>
      <c r="B93" s="196" t="s">
        <v>142</v>
      </c>
      <c r="C93" s="254" t="s">
        <v>149</v>
      </c>
      <c r="D93" s="255"/>
      <c r="E93" s="255"/>
      <c r="F93" s="255"/>
      <c r="G93" s="255"/>
      <c r="H93" s="255"/>
      <c r="I93" s="255"/>
      <c r="J93" s="255"/>
      <c r="K93" s="256"/>
      <c r="L93" s="5"/>
      <c r="M93" s="5"/>
      <c r="N93" s="5"/>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5"/>
      <c r="BN93" s="5"/>
      <c r="BO93" s="5"/>
      <c r="BP93" s="5"/>
      <c r="BQ93" s="5"/>
    </row>
    <row r="94" spans="1:69" x14ac:dyDescent="0.5">
      <c r="A94" s="5"/>
      <c r="B94" s="197" t="str">
        <f>"0"</f>
        <v>0</v>
      </c>
      <c r="C94" s="257" t="s">
        <v>143</v>
      </c>
      <c r="D94" s="258"/>
      <c r="E94" s="258"/>
      <c r="F94" s="258"/>
      <c r="G94" s="258"/>
      <c r="H94" s="258"/>
      <c r="I94" s="258"/>
      <c r="J94" s="258"/>
      <c r="K94" s="259"/>
      <c r="L94" s="5"/>
      <c r="M94" s="5"/>
      <c r="N94" s="5"/>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5"/>
      <c r="BN94" s="5"/>
      <c r="BO94" s="5"/>
      <c r="BP94" s="5"/>
      <c r="BQ94" s="5"/>
    </row>
    <row r="95" spans="1:69" x14ac:dyDescent="0.5">
      <c r="A95" s="5"/>
      <c r="B95" s="198" t="str">
        <f>"1 tm"</f>
        <v>1 tm</v>
      </c>
      <c r="C95" s="260" t="s">
        <v>145</v>
      </c>
      <c r="D95" s="261"/>
      <c r="E95" s="261"/>
      <c r="F95" s="261"/>
      <c r="G95" s="261"/>
      <c r="H95" s="261"/>
      <c r="I95" s="261"/>
      <c r="J95" s="261"/>
      <c r="K95" s="262"/>
      <c r="L95" s="5"/>
      <c r="M95" s="5"/>
      <c r="N95" s="5"/>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5"/>
      <c r="BN95" s="5"/>
      <c r="BO95" s="5"/>
      <c r="BP95" s="5"/>
      <c r="BQ95" s="5"/>
    </row>
    <row r="96" spans="1:69" x14ac:dyDescent="0.5">
      <c r="A96" s="5"/>
      <c r="B96" s="197" t="str">
        <f>"1"</f>
        <v>1</v>
      </c>
      <c r="C96" s="257" t="s">
        <v>144</v>
      </c>
      <c r="D96" s="258"/>
      <c r="E96" s="258"/>
      <c r="F96" s="258"/>
      <c r="G96" s="258"/>
      <c r="H96" s="258"/>
      <c r="I96" s="258"/>
      <c r="J96" s="258"/>
      <c r="K96" s="259"/>
      <c r="L96" s="5"/>
      <c r="M96" s="5"/>
      <c r="N96" s="5"/>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5"/>
      <c r="BN96" s="5"/>
      <c r="BO96" s="5"/>
      <c r="BP96" s="5"/>
      <c r="BQ96" s="5"/>
    </row>
    <row r="97" spans="1:69" x14ac:dyDescent="0.5">
      <c r="A97" s="5"/>
      <c r="B97" s="198" t="str">
        <f>"2 tm"</f>
        <v>2 tm</v>
      </c>
      <c r="C97" s="260" t="s">
        <v>147</v>
      </c>
      <c r="D97" s="261"/>
      <c r="E97" s="261"/>
      <c r="F97" s="261"/>
      <c r="G97" s="261"/>
      <c r="H97" s="261"/>
      <c r="I97" s="261"/>
      <c r="J97" s="261"/>
      <c r="K97" s="262"/>
      <c r="L97" s="5"/>
      <c r="M97" s="5"/>
      <c r="N97" s="5"/>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5"/>
      <c r="BN97" s="5"/>
      <c r="BO97" s="5"/>
      <c r="BP97" s="5"/>
      <c r="BQ97" s="5"/>
    </row>
    <row r="98" spans="1:69" x14ac:dyDescent="0.5">
      <c r="A98" s="5"/>
      <c r="B98" s="197" t="str">
        <f>"1+1 tm"</f>
        <v>1+1 tm</v>
      </c>
      <c r="C98" s="257" t="s">
        <v>146</v>
      </c>
      <c r="D98" s="258"/>
      <c r="E98" s="258"/>
      <c r="F98" s="258"/>
      <c r="G98" s="258"/>
      <c r="H98" s="258"/>
      <c r="I98" s="258"/>
      <c r="J98" s="258"/>
      <c r="K98" s="259"/>
      <c r="L98" s="5"/>
      <c r="M98" s="5"/>
      <c r="N98" s="5"/>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5"/>
      <c r="BN98" s="5"/>
      <c r="BO98" s="5"/>
      <c r="BP98" s="5"/>
      <c r="BQ98" s="5"/>
    </row>
    <row r="99" spans="1:69" ht="14.7" thickBot="1" x14ac:dyDescent="0.55000000000000004">
      <c r="A99" s="5"/>
      <c r="B99" s="199" t="str">
        <f>"2"</f>
        <v>2</v>
      </c>
      <c r="C99" s="263" t="s">
        <v>148</v>
      </c>
      <c r="D99" s="264"/>
      <c r="E99" s="264"/>
      <c r="F99" s="264"/>
      <c r="G99" s="264"/>
      <c r="H99" s="264"/>
      <c r="I99" s="264"/>
      <c r="J99" s="264"/>
      <c r="K99" s="265"/>
      <c r="L99" s="5"/>
      <c r="M99" s="5"/>
      <c r="N99" s="5"/>
      <c r="O99" s="5"/>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5"/>
      <c r="BN99" s="5"/>
      <c r="BO99" s="5"/>
      <c r="BP99" s="5"/>
      <c r="BQ99" s="5"/>
    </row>
    <row r="100" spans="1:69" ht="14.7" thickTop="1" x14ac:dyDescent="0.5">
      <c r="A100" s="5"/>
      <c r="B100" s="5"/>
      <c r="C100" s="5"/>
      <c r="D100" s="5"/>
      <c r="E100" s="5"/>
      <c r="F100" s="5"/>
      <c r="G100" s="5"/>
      <c r="H100" s="5"/>
      <c r="I100" s="5"/>
      <c r="J100" s="5"/>
      <c r="K100" s="5"/>
      <c r="L100" s="5"/>
      <c r="M100" s="5"/>
      <c r="N100" s="5"/>
      <c r="O100" s="5"/>
      <c r="P100" s="5"/>
      <c r="Q100" s="5"/>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5"/>
      <c r="BN100" s="5"/>
      <c r="BO100" s="5"/>
      <c r="BP100" s="5"/>
      <c r="BQ100" s="5"/>
    </row>
    <row r="101" spans="1:69" x14ac:dyDescent="0.5">
      <c r="A101" s="5"/>
      <c r="B101" s="5"/>
      <c r="C101" s="5"/>
      <c r="D101" s="5"/>
      <c r="E101" s="5"/>
      <c r="F101" s="5"/>
      <c r="G101" s="5"/>
      <c r="H101" s="5"/>
      <c r="I101" s="5"/>
      <c r="J101" s="5"/>
      <c r="K101" s="5"/>
      <c r="L101" s="5"/>
      <c r="M101" s="5"/>
      <c r="N101" s="5"/>
      <c r="O101" s="5"/>
      <c r="P101" s="5"/>
      <c r="Q101" s="5"/>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5"/>
      <c r="BN101" s="5"/>
      <c r="BO101" s="5"/>
      <c r="BP101" s="5"/>
      <c r="BQ101" s="5"/>
    </row>
    <row r="102" spans="1:69" x14ac:dyDescent="0.5">
      <c r="A102" s="5"/>
      <c r="B102" s="5"/>
      <c r="C102" s="5"/>
      <c r="D102" s="5"/>
      <c r="E102" s="5"/>
      <c r="F102" s="5"/>
      <c r="G102" s="5"/>
      <c r="H102" s="5"/>
      <c r="I102" s="5"/>
      <c r="J102" s="5"/>
      <c r="K102" s="5"/>
      <c r="L102" s="5"/>
      <c r="M102" s="5"/>
      <c r="N102" s="5"/>
      <c r="O102" s="5"/>
      <c r="P102" s="5"/>
      <c r="Q102" s="5"/>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5"/>
      <c r="BN102" s="5"/>
      <c r="BO102" s="5"/>
      <c r="BP102" s="5"/>
      <c r="BQ102" s="5"/>
    </row>
    <row r="103" spans="1:69" x14ac:dyDescent="0.5">
      <c r="A103" s="5"/>
      <c r="B103" s="5"/>
      <c r="C103" s="5"/>
      <c r="D103" s="5"/>
      <c r="E103" s="5"/>
      <c r="F103" s="5"/>
      <c r="G103" s="5"/>
      <c r="H103" s="5"/>
      <c r="I103" s="5"/>
      <c r="J103" s="5"/>
      <c r="K103" s="5"/>
      <c r="L103" s="5"/>
      <c r="M103" s="5"/>
      <c r="N103" s="5"/>
      <c r="O103" s="5"/>
      <c r="P103" s="5"/>
      <c r="Q103" s="5"/>
      <c r="R103" s="5"/>
      <c r="S103" s="5"/>
      <c r="T103" s="5"/>
      <c r="U103" s="5"/>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5"/>
      <c r="BN103" s="5"/>
      <c r="BO103" s="5"/>
      <c r="BP103" s="5"/>
      <c r="BQ103" s="5"/>
    </row>
    <row r="104" spans="1:69" x14ac:dyDescent="0.5">
      <c r="A104" s="5"/>
      <c r="B104" s="5"/>
      <c r="C104" s="5"/>
      <c r="D104" s="5"/>
      <c r="E104" s="5"/>
      <c r="F104" s="5"/>
      <c r="G104" s="5"/>
      <c r="H104" s="5"/>
      <c r="I104" s="5"/>
      <c r="J104" s="5"/>
      <c r="K104" s="5"/>
      <c r="L104" s="5"/>
      <c r="M104" s="5"/>
      <c r="N104" s="5"/>
      <c r="O104" s="5"/>
      <c r="P104" s="5"/>
      <c r="Q104" s="5"/>
      <c r="R104" s="5"/>
      <c r="S104" s="5"/>
      <c r="T104" s="5"/>
      <c r="U104" s="5"/>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5"/>
      <c r="BN104" s="5"/>
      <c r="BO104" s="5"/>
      <c r="BP104" s="5"/>
      <c r="BQ104" s="5"/>
    </row>
    <row r="105" spans="1:69" x14ac:dyDescent="0.5">
      <c r="A105" s="5"/>
      <c r="B105" s="5"/>
      <c r="C105" s="5"/>
      <c r="D105" s="5"/>
      <c r="E105" s="5"/>
      <c r="F105" s="5"/>
      <c r="G105" s="5"/>
      <c r="H105" s="5"/>
      <c r="I105" s="5"/>
      <c r="J105" s="5"/>
      <c r="K105" s="5"/>
      <c r="L105" s="5"/>
      <c r="M105" s="5"/>
      <c r="N105" s="5"/>
      <c r="O105" s="5"/>
      <c r="P105" s="5"/>
      <c r="Q105" s="5"/>
      <c r="R105" s="5"/>
      <c r="S105" s="5"/>
      <c r="T105" s="5"/>
      <c r="U105" s="5"/>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5"/>
      <c r="BN105" s="5"/>
      <c r="BO105" s="5"/>
      <c r="BP105" s="5"/>
      <c r="BQ105" s="5"/>
    </row>
    <row r="106" spans="1:69" x14ac:dyDescent="0.5">
      <c r="A106" s="5"/>
      <c r="B106" s="5"/>
      <c r="C106" s="5"/>
      <c r="D106" s="5"/>
      <c r="E106" s="5"/>
      <c r="F106" s="5"/>
      <c r="G106" s="5"/>
      <c r="H106" s="5"/>
      <c r="I106" s="5"/>
      <c r="J106" s="5"/>
      <c r="K106" s="5"/>
      <c r="L106" s="5"/>
      <c r="M106" s="5"/>
      <c r="N106" s="5"/>
      <c r="O106" s="5"/>
      <c r="P106" s="5"/>
      <c r="Q106" s="5"/>
      <c r="R106" s="5"/>
      <c r="S106" s="5"/>
      <c r="T106" s="5"/>
      <c r="U106" s="5"/>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5"/>
      <c r="BN106" s="5"/>
      <c r="BO106" s="5"/>
      <c r="BP106" s="5"/>
      <c r="BQ106" s="5"/>
    </row>
    <row r="107" spans="1:69" x14ac:dyDescent="0.5">
      <c r="A107" s="5"/>
      <c r="B107" s="5"/>
      <c r="C107" s="5"/>
      <c r="D107" s="5"/>
      <c r="E107" s="5"/>
      <c r="F107" s="5"/>
      <c r="G107" s="5"/>
      <c r="H107" s="5"/>
      <c r="I107" s="5"/>
      <c r="J107" s="5"/>
      <c r="K107" s="5"/>
      <c r="L107" s="5"/>
      <c r="M107" s="5"/>
      <c r="N107" s="5"/>
      <c r="O107" s="5"/>
      <c r="P107" s="5"/>
      <c r="Q107" s="5"/>
      <c r="R107" s="5"/>
      <c r="S107" s="5"/>
      <c r="T107" s="5"/>
      <c r="U107" s="5"/>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5"/>
      <c r="BN107" s="5"/>
      <c r="BO107" s="5"/>
      <c r="BP107" s="5"/>
      <c r="BQ107" s="5"/>
    </row>
    <row r="108" spans="1:69" x14ac:dyDescent="0.5">
      <c r="A108" s="5"/>
      <c r="B108" s="5"/>
      <c r="C108" s="5"/>
      <c r="D108" s="5"/>
      <c r="E108" s="5"/>
      <c r="F108" s="5"/>
      <c r="G108" s="5"/>
      <c r="H108" s="5"/>
      <c r="I108" s="5"/>
      <c r="J108" s="5"/>
      <c r="K108" s="5"/>
      <c r="L108" s="5"/>
      <c r="M108" s="5"/>
      <c r="N108" s="5"/>
      <c r="O108" s="5"/>
      <c r="P108" s="5"/>
      <c r="Q108" s="5"/>
      <c r="R108" s="5"/>
      <c r="S108" s="5"/>
      <c r="T108" s="5"/>
      <c r="U108" s="5"/>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5"/>
      <c r="BN108" s="5"/>
      <c r="BO108" s="5"/>
      <c r="BP108" s="5"/>
      <c r="BQ108" s="5"/>
    </row>
    <row r="109" spans="1:69" x14ac:dyDescent="0.5">
      <c r="A109" s="5"/>
      <c r="B109" s="5"/>
      <c r="C109" s="5"/>
      <c r="D109" s="5"/>
      <c r="E109" s="5"/>
      <c r="F109" s="5"/>
      <c r="G109" s="5"/>
      <c r="H109" s="5"/>
      <c r="I109" s="5"/>
      <c r="J109" s="5"/>
      <c r="K109" s="5"/>
      <c r="L109" s="5"/>
      <c r="M109" s="5"/>
      <c r="N109" s="5"/>
      <c r="O109" s="5"/>
      <c r="P109" s="5"/>
      <c r="Q109" s="5"/>
      <c r="R109" s="5"/>
      <c r="S109" s="5"/>
      <c r="T109" s="5"/>
      <c r="U109" s="5"/>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5"/>
      <c r="BN109" s="5"/>
      <c r="BO109" s="5"/>
      <c r="BP109" s="5"/>
      <c r="BQ109" s="5"/>
    </row>
    <row r="110" spans="1:69" x14ac:dyDescent="0.5">
      <c r="A110" s="5"/>
      <c r="B110" s="5"/>
      <c r="C110" s="5"/>
      <c r="D110" s="5"/>
      <c r="E110" s="5"/>
      <c r="F110" s="5"/>
      <c r="G110" s="5"/>
      <c r="H110" s="5"/>
      <c r="I110" s="5"/>
      <c r="J110" s="5"/>
      <c r="K110" s="5"/>
      <c r="L110" s="5"/>
      <c r="M110" s="5"/>
      <c r="N110" s="5"/>
      <c r="O110" s="5"/>
      <c r="P110" s="5"/>
      <c r="Q110" s="5"/>
      <c r="R110" s="5"/>
      <c r="S110" s="5"/>
      <c r="T110" s="5"/>
      <c r="U110" s="5"/>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5"/>
      <c r="BN110" s="5"/>
      <c r="BO110" s="5"/>
      <c r="BP110" s="5"/>
      <c r="BQ110" s="5"/>
    </row>
    <row r="111" spans="1:69" x14ac:dyDescent="0.5">
      <c r="A111" s="5"/>
      <c r="B111" s="5"/>
      <c r="C111" s="5"/>
      <c r="D111" s="5"/>
      <c r="E111" s="5"/>
      <c r="F111" s="5"/>
      <c r="G111" s="5"/>
      <c r="H111" s="5"/>
      <c r="I111" s="5"/>
      <c r="J111" s="5"/>
      <c r="K111" s="5"/>
      <c r="L111" s="5"/>
      <c r="M111" s="5"/>
      <c r="N111" s="5"/>
      <c r="O111" s="5"/>
      <c r="P111" s="5"/>
      <c r="Q111" s="5"/>
      <c r="R111" s="5"/>
      <c r="S111" s="5"/>
      <c r="T111" s="5"/>
      <c r="U111" s="5"/>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5"/>
      <c r="BN111" s="5"/>
      <c r="BO111" s="5"/>
      <c r="BP111" s="5"/>
      <c r="BQ111" s="5"/>
    </row>
    <row r="112" spans="1:69" x14ac:dyDescent="0.5">
      <c r="A112" s="5"/>
      <c r="B112" s="5"/>
      <c r="C112" s="5"/>
      <c r="D112" s="5"/>
      <c r="E112" s="5"/>
      <c r="F112" s="5"/>
      <c r="G112" s="5"/>
      <c r="H112" s="5"/>
      <c r="I112" s="5"/>
      <c r="J112" s="5"/>
      <c r="K112" s="5"/>
      <c r="L112" s="5"/>
      <c r="M112" s="5"/>
      <c r="N112" s="5"/>
      <c r="O112" s="5"/>
      <c r="P112" s="5"/>
      <c r="Q112" s="5"/>
      <c r="R112" s="5"/>
      <c r="S112" s="5"/>
      <c r="T112" s="5"/>
      <c r="U112" s="5"/>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5"/>
      <c r="BN112" s="5"/>
      <c r="BO112" s="5"/>
      <c r="BP112" s="5"/>
      <c r="BQ112" s="5"/>
    </row>
    <row r="113" spans="1:69" x14ac:dyDescent="0.5">
      <c r="A113" s="5"/>
      <c r="B113" s="5"/>
      <c r="C113" s="5"/>
      <c r="D113" s="5"/>
      <c r="E113" s="5"/>
      <c r="F113" s="5"/>
      <c r="G113" s="5"/>
      <c r="H113" s="5"/>
      <c r="I113" s="5"/>
      <c r="J113" s="5"/>
      <c r="K113" s="5"/>
      <c r="L113" s="5"/>
      <c r="M113" s="5"/>
      <c r="N113" s="5"/>
      <c r="O113" s="5"/>
      <c r="P113" s="5"/>
      <c r="Q113" s="5"/>
      <c r="R113" s="5"/>
      <c r="S113" s="5"/>
      <c r="T113" s="5"/>
      <c r="U113" s="5"/>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5"/>
      <c r="BN113" s="5"/>
      <c r="BO113" s="5"/>
      <c r="BP113" s="5"/>
      <c r="BQ113" s="5"/>
    </row>
    <row r="114" spans="1:69" x14ac:dyDescent="0.5">
      <c r="A114" s="5"/>
      <c r="B114" s="5"/>
      <c r="C114" s="5"/>
      <c r="D114" s="5"/>
      <c r="E114" s="5"/>
      <c r="F114" s="5"/>
      <c r="G114" s="5"/>
      <c r="H114" s="5"/>
      <c r="I114" s="5"/>
      <c r="J114" s="5"/>
      <c r="K114" s="5"/>
      <c r="L114" s="5"/>
      <c r="M114" s="5"/>
      <c r="N114" s="5"/>
      <c r="O114" s="5"/>
      <c r="P114" s="5"/>
      <c r="Q114" s="5"/>
      <c r="R114" s="5"/>
      <c r="S114" s="5"/>
      <c r="T114" s="5"/>
      <c r="U114" s="5"/>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5"/>
      <c r="BN114" s="5"/>
      <c r="BO114" s="5"/>
      <c r="BP114" s="5"/>
      <c r="BQ114" s="5"/>
    </row>
  </sheetData>
  <sheetProtection algorithmName="SHA-512" hashValue="gHa0X832Y2orGjU9UZ25PUAwcdwngn2SQ709Mj8BXcVnQABJPXG//2LP80pAGrUac8yvlATKf6G6+9cEjayw3w==" saltValue="AJaV/0ohF2k1abYPUz2zOA==" spinCount="100000" sheet="1" objects="1" scenarios="1" selectLockedCells="1"/>
  <mergeCells count="12">
    <mergeCell ref="BD3:BL3"/>
    <mergeCell ref="M3:S3"/>
    <mergeCell ref="A1:K1"/>
    <mergeCell ref="AN3:AO3"/>
    <mergeCell ref="B3:H3"/>
    <mergeCell ref="B92:K92"/>
    <mergeCell ref="U14:W14"/>
    <mergeCell ref="U25:W25"/>
    <mergeCell ref="AJ3:AL3"/>
    <mergeCell ref="U3:W3"/>
    <mergeCell ref="Y3:AD3"/>
    <mergeCell ref="AF3:AH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155F-1529-4225-B112-2F15EA98E69E}">
  <sheetPr>
    <tabColor theme="7" tint="-0.499984740745262"/>
  </sheetPr>
  <dimension ref="A1:AM128"/>
  <sheetViews>
    <sheetView zoomScale="80" zoomScaleNormal="80" workbookViewId="0">
      <selection activeCell="D4" sqref="D4"/>
    </sheetView>
  </sheetViews>
  <sheetFormatPr defaultRowHeight="14.35" x14ac:dyDescent="0.5"/>
  <cols>
    <col min="1" max="1" width="3.1171875" style="1" customWidth="1"/>
    <col min="2" max="2" width="3" customWidth="1"/>
    <col min="3" max="3" width="14.64453125" customWidth="1"/>
    <col min="4" max="4" width="11.5859375" customWidth="1"/>
    <col min="5" max="5" width="7" customWidth="1"/>
    <col min="6" max="6" width="11.5859375" customWidth="1"/>
    <col min="7" max="7" width="7" customWidth="1"/>
    <col min="8" max="8" width="11.5859375" customWidth="1"/>
    <col min="9" max="9" width="7" customWidth="1"/>
    <col min="10" max="10" width="11.5859375" customWidth="1"/>
    <col min="11" max="11" width="7" customWidth="1"/>
    <col min="12" max="12" width="11.5859375" customWidth="1"/>
    <col min="13" max="13" width="7" customWidth="1"/>
    <col min="14" max="14" width="11.5859375" customWidth="1"/>
    <col min="15" max="15" width="7" customWidth="1"/>
    <col min="16" max="16" width="11.5859375" customWidth="1"/>
    <col min="17" max="17" width="7" customWidth="1"/>
    <col min="18" max="18" width="11.5859375" customWidth="1"/>
    <col min="19" max="19" width="7" customWidth="1"/>
    <col min="20" max="20" width="11.5859375" customWidth="1"/>
    <col min="21" max="21" width="7" customWidth="1"/>
    <col min="22" max="22" width="11.5859375" customWidth="1"/>
    <col min="23" max="23" width="7" customWidth="1"/>
    <col min="24" max="24" width="3.52734375" customWidth="1"/>
  </cols>
  <sheetData>
    <row r="1" spans="1:38" ht="14.7" thickBot="1" x14ac:dyDescent="0.55000000000000004">
      <c r="A1" s="39"/>
      <c r="B1" s="39"/>
      <c r="C1" s="39"/>
      <c r="D1" s="39"/>
      <c r="E1" s="39"/>
      <c r="F1" s="39"/>
      <c r="G1" s="39"/>
      <c r="H1" s="39"/>
      <c r="I1" s="39"/>
      <c r="J1" s="39"/>
      <c r="K1" s="39"/>
      <c r="L1" s="39"/>
      <c r="M1" s="39"/>
      <c r="N1" s="39"/>
      <c r="O1" s="39"/>
      <c r="P1" s="39"/>
      <c r="Q1" s="39"/>
      <c r="R1" s="39"/>
      <c r="S1" s="39"/>
      <c r="T1" s="39"/>
      <c r="U1" s="39"/>
      <c r="V1" s="39"/>
      <c r="W1" s="39"/>
      <c r="X1" s="39"/>
      <c r="Y1" s="39"/>
      <c r="Z1" s="10"/>
      <c r="AA1" s="10"/>
      <c r="AB1" s="10"/>
      <c r="AC1" s="10"/>
      <c r="AD1" s="10"/>
      <c r="AE1" s="10"/>
      <c r="AF1" s="10"/>
      <c r="AG1" s="10"/>
      <c r="AH1" s="10"/>
      <c r="AI1" s="10"/>
      <c r="AJ1" s="10"/>
      <c r="AK1" s="10"/>
      <c r="AL1" s="10"/>
    </row>
    <row r="2" spans="1:38" ht="15" thickTop="1" thickBot="1" x14ac:dyDescent="0.55000000000000004">
      <c r="A2" s="39"/>
      <c r="B2" s="283"/>
      <c r="C2" s="284"/>
      <c r="D2" s="284"/>
      <c r="E2" s="284"/>
      <c r="F2" s="284"/>
      <c r="G2" s="284"/>
      <c r="H2" s="284"/>
      <c r="I2" s="284"/>
      <c r="J2" s="284"/>
      <c r="K2" s="284"/>
      <c r="L2" s="284"/>
      <c r="M2" s="284"/>
      <c r="N2" s="284"/>
      <c r="O2" s="284"/>
      <c r="P2" s="284"/>
      <c r="Q2" s="284"/>
      <c r="R2" s="284"/>
      <c r="S2" s="284"/>
      <c r="T2" s="284"/>
      <c r="U2" s="284"/>
      <c r="V2" s="284"/>
      <c r="W2" s="284"/>
      <c r="X2" s="285"/>
      <c r="Y2" s="39"/>
      <c r="Z2" s="10"/>
      <c r="AA2" s="10"/>
      <c r="AB2" s="10"/>
      <c r="AC2" s="10"/>
      <c r="AD2" s="10"/>
      <c r="AE2" s="10"/>
      <c r="AF2" s="10"/>
      <c r="AG2" s="10"/>
      <c r="AH2" s="10"/>
      <c r="AI2" s="10"/>
      <c r="AJ2" s="10"/>
      <c r="AK2" s="10"/>
      <c r="AL2" s="10"/>
    </row>
    <row r="3" spans="1:38" ht="18.7" thickTop="1" thickBot="1" x14ac:dyDescent="0.55000000000000004">
      <c r="A3" s="39"/>
      <c r="B3" s="286"/>
      <c r="C3" s="388" t="s">
        <v>236</v>
      </c>
      <c r="D3" s="389"/>
      <c r="E3" s="389"/>
      <c r="F3" s="389"/>
      <c r="G3" s="389"/>
      <c r="H3" s="389"/>
      <c r="I3" s="389"/>
      <c r="J3" s="389"/>
      <c r="K3" s="389"/>
      <c r="L3" s="389"/>
      <c r="M3" s="389"/>
      <c r="N3" s="389"/>
      <c r="O3" s="389"/>
      <c r="P3" s="389"/>
      <c r="Q3" s="389"/>
      <c r="R3" s="389"/>
      <c r="S3" s="389"/>
      <c r="T3" s="389"/>
      <c r="U3" s="389"/>
      <c r="V3" s="389"/>
      <c r="W3" s="390"/>
      <c r="X3" s="287"/>
      <c r="Y3" s="39"/>
      <c r="Z3" s="10"/>
      <c r="AA3" s="10"/>
      <c r="AB3" s="10"/>
      <c r="AC3" s="10"/>
      <c r="AD3" s="10"/>
      <c r="AE3" s="10"/>
      <c r="AF3" s="10"/>
      <c r="AG3" s="10"/>
      <c r="AH3" s="10"/>
      <c r="AI3" s="10"/>
      <c r="AJ3" s="10"/>
      <c r="AK3" s="10"/>
      <c r="AL3" s="10"/>
    </row>
    <row r="4" spans="1:38" ht="14.7" thickTop="1" x14ac:dyDescent="0.5">
      <c r="A4" s="39"/>
      <c r="B4" s="286"/>
      <c r="C4" s="288" t="s">
        <v>233</v>
      </c>
      <c r="D4" s="314"/>
      <c r="E4" s="289"/>
      <c r="F4" s="314"/>
      <c r="G4" s="289"/>
      <c r="H4" s="314"/>
      <c r="I4" s="289"/>
      <c r="J4" s="314"/>
      <c r="K4" s="289"/>
      <c r="L4" s="314"/>
      <c r="M4" s="289"/>
      <c r="N4" s="314"/>
      <c r="O4" s="289"/>
      <c r="P4" s="314"/>
      <c r="Q4" s="289"/>
      <c r="R4" s="314"/>
      <c r="S4" s="289"/>
      <c r="T4" s="314"/>
      <c r="U4" s="289"/>
      <c r="V4" s="314"/>
      <c r="W4" s="290"/>
      <c r="X4" s="287"/>
      <c r="Y4" s="39"/>
      <c r="Z4" s="10"/>
      <c r="AA4" s="10"/>
      <c r="AB4" s="10"/>
      <c r="AC4" s="10"/>
      <c r="AD4" s="10"/>
      <c r="AE4" s="10"/>
      <c r="AF4" s="10"/>
      <c r="AG4" s="10"/>
      <c r="AH4" s="10"/>
      <c r="AI4" s="10"/>
      <c r="AJ4" s="10"/>
      <c r="AK4" s="10"/>
      <c r="AL4" s="10"/>
    </row>
    <row r="5" spans="1:38" x14ac:dyDescent="0.5">
      <c r="A5" s="39"/>
      <c r="B5" s="286"/>
      <c r="C5" s="291" t="s">
        <v>13</v>
      </c>
      <c r="D5" s="315"/>
      <c r="E5" s="292" t="s">
        <v>14</v>
      </c>
      <c r="F5" s="315"/>
      <c r="G5" s="292" t="s">
        <v>14</v>
      </c>
      <c r="H5" s="315"/>
      <c r="I5" s="292" t="s">
        <v>14</v>
      </c>
      <c r="J5" s="315"/>
      <c r="K5" s="292" t="s">
        <v>14</v>
      </c>
      <c r="L5" s="315"/>
      <c r="M5" s="292" t="s">
        <v>14</v>
      </c>
      <c r="N5" s="315"/>
      <c r="O5" s="292" t="s">
        <v>14</v>
      </c>
      <c r="P5" s="315"/>
      <c r="Q5" s="292" t="s">
        <v>14</v>
      </c>
      <c r="R5" s="315"/>
      <c r="S5" s="292" t="s">
        <v>14</v>
      </c>
      <c r="T5" s="315"/>
      <c r="U5" s="292" t="s">
        <v>14</v>
      </c>
      <c r="V5" s="315"/>
      <c r="W5" s="293" t="s">
        <v>14</v>
      </c>
      <c r="X5" s="287"/>
      <c r="Y5" s="39"/>
      <c r="Z5" s="10"/>
      <c r="AA5" s="10"/>
      <c r="AB5" s="10"/>
      <c r="AC5" s="10"/>
      <c r="AD5" s="10"/>
      <c r="AE5" s="10"/>
      <c r="AF5" s="10"/>
      <c r="AG5" s="10"/>
      <c r="AH5" s="10"/>
      <c r="AI5" s="10"/>
      <c r="AJ5" s="10"/>
      <c r="AK5" s="10"/>
      <c r="AL5" s="10"/>
    </row>
    <row r="6" spans="1:38" x14ac:dyDescent="0.5">
      <c r="A6" s="39"/>
      <c r="B6" s="286"/>
      <c r="C6" s="291" t="s">
        <v>70</v>
      </c>
      <c r="D6" s="316"/>
      <c r="E6" s="292" t="s">
        <v>71</v>
      </c>
      <c r="F6" s="316"/>
      <c r="G6" s="292" t="s">
        <v>71</v>
      </c>
      <c r="H6" s="316"/>
      <c r="I6" s="292" t="s">
        <v>71</v>
      </c>
      <c r="J6" s="316"/>
      <c r="K6" s="292" t="s">
        <v>71</v>
      </c>
      <c r="L6" s="316"/>
      <c r="M6" s="292" t="s">
        <v>71</v>
      </c>
      <c r="N6" s="316"/>
      <c r="O6" s="292" t="s">
        <v>71</v>
      </c>
      <c r="P6" s="316"/>
      <c r="Q6" s="292" t="s">
        <v>71</v>
      </c>
      <c r="R6" s="316"/>
      <c r="S6" s="292" t="s">
        <v>71</v>
      </c>
      <c r="T6" s="316"/>
      <c r="U6" s="292" t="s">
        <v>71</v>
      </c>
      <c r="V6" s="316"/>
      <c r="W6" s="293" t="s">
        <v>71</v>
      </c>
      <c r="X6" s="287"/>
      <c r="Y6" s="39"/>
      <c r="Z6" s="10"/>
      <c r="AA6" s="10"/>
      <c r="AB6" s="10"/>
      <c r="AC6" s="10"/>
      <c r="AD6" s="10"/>
      <c r="AE6" s="10"/>
      <c r="AF6" s="10"/>
      <c r="AG6" s="10"/>
      <c r="AH6" s="10"/>
      <c r="AI6" s="10"/>
      <c r="AJ6" s="10"/>
      <c r="AK6" s="10"/>
      <c r="AL6" s="10"/>
    </row>
    <row r="7" spans="1:38" x14ac:dyDescent="0.5">
      <c r="A7" s="39"/>
      <c r="B7" s="286"/>
      <c r="C7" s="291" t="s">
        <v>58</v>
      </c>
      <c r="D7" s="317"/>
      <c r="E7" s="292" t="s">
        <v>10</v>
      </c>
      <c r="F7" s="317"/>
      <c r="G7" s="292" t="s">
        <v>10</v>
      </c>
      <c r="H7" s="317"/>
      <c r="I7" s="292" t="s">
        <v>10</v>
      </c>
      <c r="J7" s="317"/>
      <c r="K7" s="292" t="s">
        <v>10</v>
      </c>
      <c r="L7" s="317"/>
      <c r="M7" s="292" t="s">
        <v>10</v>
      </c>
      <c r="N7" s="317"/>
      <c r="O7" s="292" t="s">
        <v>10</v>
      </c>
      <c r="P7" s="317"/>
      <c r="Q7" s="292" t="s">
        <v>10</v>
      </c>
      <c r="R7" s="317"/>
      <c r="S7" s="292" t="s">
        <v>10</v>
      </c>
      <c r="T7" s="317"/>
      <c r="U7" s="292" t="s">
        <v>10</v>
      </c>
      <c r="V7" s="317"/>
      <c r="W7" s="293" t="s">
        <v>10</v>
      </c>
      <c r="X7" s="287"/>
      <c r="Y7" s="39"/>
      <c r="Z7" s="10"/>
      <c r="AA7" s="10"/>
      <c r="AB7" s="10"/>
      <c r="AC7" s="10"/>
      <c r="AD7" s="10"/>
      <c r="AE7" s="10"/>
      <c r="AF7" s="10"/>
      <c r="AG7" s="10"/>
      <c r="AH7" s="10"/>
      <c r="AI7" s="10"/>
      <c r="AJ7" s="10"/>
      <c r="AK7" s="10"/>
      <c r="AL7" s="10"/>
    </row>
    <row r="8" spans="1:38" ht="14.7" thickBot="1" x14ac:dyDescent="0.55000000000000004">
      <c r="A8" s="39"/>
      <c r="B8" s="286"/>
      <c r="C8" s="294" t="s">
        <v>234</v>
      </c>
      <c r="D8" s="318"/>
      <c r="E8" s="295" t="s">
        <v>11</v>
      </c>
      <c r="F8" s="318"/>
      <c r="G8" s="295" t="s">
        <v>11</v>
      </c>
      <c r="H8" s="318"/>
      <c r="I8" s="295" t="s">
        <v>11</v>
      </c>
      <c r="J8" s="318"/>
      <c r="K8" s="295" t="s">
        <v>11</v>
      </c>
      <c r="L8" s="318"/>
      <c r="M8" s="295" t="s">
        <v>11</v>
      </c>
      <c r="N8" s="318"/>
      <c r="O8" s="295" t="s">
        <v>11</v>
      </c>
      <c r="P8" s="318"/>
      <c r="Q8" s="295" t="s">
        <v>11</v>
      </c>
      <c r="R8" s="318"/>
      <c r="S8" s="295" t="s">
        <v>11</v>
      </c>
      <c r="T8" s="318"/>
      <c r="U8" s="295" t="s">
        <v>11</v>
      </c>
      <c r="V8" s="318"/>
      <c r="W8" s="296" t="s">
        <v>11</v>
      </c>
      <c r="X8" s="287"/>
      <c r="Y8" s="39"/>
      <c r="Z8" s="10"/>
      <c r="AA8" s="10"/>
      <c r="AB8" s="10"/>
      <c r="AC8" s="10"/>
      <c r="AD8" s="10"/>
      <c r="AE8" s="10"/>
      <c r="AF8" s="10"/>
      <c r="AG8" s="10"/>
      <c r="AH8" s="10"/>
      <c r="AI8" s="10"/>
      <c r="AJ8" s="10"/>
      <c r="AK8" s="10"/>
      <c r="AL8" s="10"/>
    </row>
    <row r="9" spans="1:38" ht="15" thickTop="1" thickBot="1" x14ac:dyDescent="0.55000000000000004">
      <c r="A9" s="39"/>
      <c r="B9" s="286"/>
      <c r="C9" s="297"/>
      <c r="D9" s="297"/>
      <c r="E9" s="297"/>
      <c r="F9" s="297"/>
      <c r="G9" s="297"/>
      <c r="H9" s="297"/>
      <c r="I9" s="297"/>
      <c r="J9" s="297"/>
      <c r="K9" s="297"/>
      <c r="L9" s="297"/>
      <c r="M9" s="297"/>
      <c r="N9" s="297"/>
      <c r="O9" s="297"/>
      <c r="P9" s="297"/>
      <c r="Q9" s="297"/>
      <c r="R9" s="297"/>
      <c r="S9" s="297"/>
      <c r="T9" s="297"/>
      <c r="U9" s="297"/>
      <c r="V9" s="297"/>
      <c r="W9" s="297"/>
      <c r="X9" s="287"/>
      <c r="Y9" s="39"/>
      <c r="Z9" s="10"/>
      <c r="AA9" s="10"/>
      <c r="AB9" s="10"/>
      <c r="AC9" s="10"/>
      <c r="AD9" s="10"/>
      <c r="AE9" s="10"/>
      <c r="AF9" s="10"/>
      <c r="AG9" s="10"/>
      <c r="AH9" s="10"/>
      <c r="AI9" s="10"/>
      <c r="AJ9" s="10"/>
      <c r="AK9" s="10"/>
      <c r="AL9" s="10"/>
    </row>
    <row r="10" spans="1:38" ht="18.7" thickTop="1" thickBot="1" x14ac:dyDescent="0.55000000000000004">
      <c r="A10" s="39"/>
      <c r="B10" s="286"/>
      <c r="C10" s="392" t="s">
        <v>235</v>
      </c>
      <c r="D10" s="393"/>
      <c r="E10" s="393"/>
      <c r="F10" s="393"/>
      <c r="G10" s="393"/>
      <c r="H10" s="393"/>
      <c r="I10" s="393"/>
      <c r="J10" s="393"/>
      <c r="K10" s="393"/>
      <c r="L10" s="393"/>
      <c r="M10" s="393"/>
      <c r="N10" s="393"/>
      <c r="O10" s="393"/>
      <c r="P10" s="393"/>
      <c r="Q10" s="393"/>
      <c r="R10" s="393"/>
      <c r="S10" s="393"/>
      <c r="T10" s="393"/>
      <c r="U10" s="393"/>
      <c r="V10" s="393"/>
      <c r="W10" s="394"/>
      <c r="X10" s="287"/>
      <c r="Y10" s="39"/>
      <c r="Z10" s="10"/>
      <c r="AA10" s="10"/>
      <c r="AB10" s="10"/>
      <c r="AC10" s="10"/>
      <c r="AD10" s="10"/>
      <c r="AE10" s="10"/>
      <c r="AF10" s="10"/>
      <c r="AG10" s="10"/>
      <c r="AH10" s="10"/>
      <c r="AI10" s="10"/>
      <c r="AJ10" s="10"/>
      <c r="AK10" s="10"/>
      <c r="AL10" s="10"/>
    </row>
    <row r="11" spans="1:38" ht="14.7" thickTop="1" x14ac:dyDescent="0.5">
      <c r="A11" s="39"/>
      <c r="B11" s="286"/>
      <c r="C11" s="288" t="s">
        <v>233</v>
      </c>
      <c r="D11" s="298">
        <f>Year</f>
        <v>0</v>
      </c>
      <c r="E11" s="299"/>
      <c r="F11" s="298">
        <f>F4</f>
        <v>0</v>
      </c>
      <c r="G11" s="299"/>
      <c r="H11" s="298">
        <f>H4</f>
        <v>0</v>
      </c>
      <c r="I11" s="299"/>
      <c r="J11" s="298">
        <f>J4</f>
        <v>0</v>
      </c>
      <c r="K11" s="299"/>
      <c r="L11" s="298">
        <f>L4</f>
        <v>0</v>
      </c>
      <c r="M11" s="299"/>
      <c r="N11" s="298">
        <f>N4</f>
        <v>0</v>
      </c>
      <c r="O11" s="299"/>
      <c r="P11" s="298">
        <f>P4</f>
        <v>0</v>
      </c>
      <c r="Q11" s="299"/>
      <c r="R11" s="298">
        <f>R4</f>
        <v>0</v>
      </c>
      <c r="S11" s="299"/>
      <c r="T11" s="298">
        <f>T4</f>
        <v>0</v>
      </c>
      <c r="U11" s="299"/>
      <c r="V11" s="298">
        <f>V4</f>
        <v>0</v>
      </c>
      <c r="W11" s="300"/>
      <c r="X11" s="287"/>
      <c r="Y11" s="39"/>
      <c r="Z11" s="10"/>
      <c r="AA11" s="10"/>
      <c r="AB11" s="10"/>
      <c r="AC11" s="10"/>
      <c r="AD11" s="10"/>
      <c r="AE11" s="10"/>
      <c r="AF11" s="10"/>
      <c r="AG11" s="10"/>
      <c r="AH11" s="10"/>
      <c r="AI11" s="10"/>
      <c r="AJ11" s="10"/>
      <c r="AK11" s="10"/>
      <c r="AL11" s="10"/>
    </row>
    <row r="12" spans="1:38" x14ac:dyDescent="0.5">
      <c r="A12" s="39"/>
      <c r="B12" s="286"/>
      <c r="C12" s="291" t="s">
        <v>243</v>
      </c>
      <c r="D12" s="301" t="e">
        <f>D6/D5</f>
        <v>#DIV/0!</v>
      </c>
      <c r="E12" s="292" t="s">
        <v>72</v>
      </c>
      <c r="F12" s="301" t="e">
        <f>F6/F5</f>
        <v>#DIV/0!</v>
      </c>
      <c r="G12" s="292" t="s">
        <v>72</v>
      </c>
      <c r="H12" s="301" t="e">
        <f>H6/H5</f>
        <v>#DIV/0!</v>
      </c>
      <c r="I12" s="292" t="s">
        <v>72</v>
      </c>
      <c r="J12" s="301" t="e">
        <f>J6/J5</f>
        <v>#DIV/0!</v>
      </c>
      <c r="K12" s="292" t="s">
        <v>72</v>
      </c>
      <c r="L12" s="301" t="e">
        <f>L6/L5</f>
        <v>#DIV/0!</v>
      </c>
      <c r="M12" s="292" t="s">
        <v>72</v>
      </c>
      <c r="N12" s="301" t="e">
        <f>N6/N5</f>
        <v>#DIV/0!</v>
      </c>
      <c r="O12" s="292" t="s">
        <v>72</v>
      </c>
      <c r="P12" s="301" t="e">
        <f>P6/P5</f>
        <v>#DIV/0!</v>
      </c>
      <c r="Q12" s="292" t="s">
        <v>72</v>
      </c>
      <c r="R12" s="301" t="e">
        <f>R6/R5</f>
        <v>#DIV/0!</v>
      </c>
      <c r="S12" s="292" t="s">
        <v>72</v>
      </c>
      <c r="T12" s="301" t="e">
        <f>T6/T5</f>
        <v>#DIV/0!</v>
      </c>
      <c r="U12" s="292" t="s">
        <v>72</v>
      </c>
      <c r="V12" s="301" t="e">
        <f>V6/V5</f>
        <v>#DIV/0!</v>
      </c>
      <c r="W12" s="293" t="s">
        <v>72</v>
      </c>
      <c r="X12" s="287"/>
      <c r="Y12" s="39"/>
      <c r="Z12" s="10"/>
      <c r="AA12" s="10"/>
      <c r="AB12" s="10"/>
      <c r="AC12" s="10"/>
      <c r="AD12" s="10"/>
      <c r="AE12" s="10"/>
      <c r="AF12" s="10"/>
      <c r="AG12" s="10"/>
      <c r="AH12" s="10"/>
      <c r="AI12" s="10"/>
      <c r="AJ12" s="10"/>
      <c r="AK12" s="10"/>
      <c r="AL12" s="10"/>
    </row>
    <row r="13" spans="1:38" x14ac:dyDescent="0.5">
      <c r="A13" s="39"/>
      <c r="B13" s="286"/>
      <c r="C13" s="291" t="s">
        <v>25</v>
      </c>
      <c r="D13" s="302">
        <f>D6*D7</f>
        <v>0</v>
      </c>
      <c r="E13" s="292" t="s">
        <v>11</v>
      </c>
      <c r="F13" s="302">
        <f>F6*F7</f>
        <v>0</v>
      </c>
      <c r="G13" s="292" t="s">
        <v>11</v>
      </c>
      <c r="H13" s="302">
        <f>H6*H7</f>
        <v>0</v>
      </c>
      <c r="I13" s="292" t="s">
        <v>11</v>
      </c>
      <c r="J13" s="302">
        <f>J6*J7</f>
        <v>0</v>
      </c>
      <c r="K13" s="292" t="s">
        <v>11</v>
      </c>
      <c r="L13" s="302">
        <f>L6*L7</f>
        <v>0</v>
      </c>
      <c r="M13" s="292" t="s">
        <v>11</v>
      </c>
      <c r="N13" s="302">
        <f>N6*N7</f>
        <v>0</v>
      </c>
      <c r="O13" s="292" t="s">
        <v>11</v>
      </c>
      <c r="P13" s="302">
        <f>P6*P7</f>
        <v>0</v>
      </c>
      <c r="Q13" s="292" t="s">
        <v>11</v>
      </c>
      <c r="R13" s="302">
        <f>R6*R7</f>
        <v>0</v>
      </c>
      <c r="S13" s="292" t="s">
        <v>11</v>
      </c>
      <c r="T13" s="302">
        <f>T6*T7</f>
        <v>0</v>
      </c>
      <c r="U13" s="292" t="s">
        <v>11</v>
      </c>
      <c r="V13" s="302">
        <f>V6*V7</f>
        <v>0</v>
      </c>
      <c r="W13" s="293" t="s">
        <v>11</v>
      </c>
      <c r="X13" s="287"/>
      <c r="Y13" s="39"/>
      <c r="Z13" s="10"/>
      <c r="AA13" s="10"/>
      <c r="AB13" s="10"/>
      <c r="AC13" s="10"/>
      <c r="AD13" s="10"/>
      <c r="AE13" s="10"/>
      <c r="AF13" s="10"/>
      <c r="AG13" s="10"/>
      <c r="AH13" s="10"/>
      <c r="AI13" s="10"/>
      <c r="AJ13" s="10"/>
      <c r="AK13" s="10"/>
      <c r="AL13" s="10"/>
    </row>
    <row r="14" spans="1:38" ht="14.7" thickBot="1" x14ac:dyDescent="0.55000000000000004">
      <c r="A14" s="39"/>
      <c r="B14" s="286"/>
      <c r="C14" s="294" t="s">
        <v>244</v>
      </c>
      <c r="D14" s="303">
        <f>D13-D8</f>
        <v>0</v>
      </c>
      <c r="E14" s="295" t="s">
        <v>11</v>
      </c>
      <c r="F14" s="303">
        <f>F13-F8</f>
        <v>0</v>
      </c>
      <c r="G14" s="295" t="s">
        <v>11</v>
      </c>
      <c r="H14" s="303">
        <f>H13-H8</f>
        <v>0</v>
      </c>
      <c r="I14" s="295" t="s">
        <v>11</v>
      </c>
      <c r="J14" s="303">
        <f>J13-J8</f>
        <v>0</v>
      </c>
      <c r="K14" s="295" t="s">
        <v>11</v>
      </c>
      <c r="L14" s="303">
        <f>L13-L8</f>
        <v>0</v>
      </c>
      <c r="M14" s="295" t="s">
        <v>11</v>
      </c>
      <c r="N14" s="303">
        <f>N13-N8</f>
        <v>0</v>
      </c>
      <c r="O14" s="295" t="s">
        <v>11</v>
      </c>
      <c r="P14" s="303">
        <f>P13-P8</f>
        <v>0</v>
      </c>
      <c r="Q14" s="295" t="s">
        <v>11</v>
      </c>
      <c r="R14" s="303">
        <f>R13-R8</f>
        <v>0</v>
      </c>
      <c r="S14" s="295" t="s">
        <v>11</v>
      </c>
      <c r="T14" s="303">
        <f>T13-T8</f>
        <v>0</v>
      </c>
      <c r="U14" s="295" t="s">
        <v>11</v>
      </c>
      <c r="V14" s="303">
        <f>V13-V8</f>
        <v>0</v>
      </c>
      <c r="W14" s="296" t="s">
        <v>11</v>
      </c>
      <c r="X14" s="287"/>
      <c r="Y14" s="39"/>
      <c r="Z14" s="10"/>
      <c r="AA14" s="10"/>
      <c r="AB14" s="10"/>
      <c r="AC14" s="10"/>
      <c r="AD14" s="10"/>
      <c r="AE14" s="10"/>
      <c r="AF14" s="10"/>
      <c r="AG14" s="10"/>
      <c r="AH14" s="10"/>
      <c r="AI14" s="10"/>
      <c r="AJ14" s="10"/>
      <c r="AK14" s="10"/>
      <c r="AL14" s="10"/>
    </row>
    <row r="15" spans="1:38" ht="15" thickTop="1" thickBot="1" x14ac:dyDescent="0.55000000000000004">
      <c r="A15" s="39"/>
      <c r="B15" s="286"/>
      <c r="C15" s="304"/>
      <c r="D15" s="304"/>
      <c r="E15" s="304"/>
      <c r="F15" s="297"/>
      <c r="G15" s="297"/>
      <c r="H15" s="297"/>
      <c r="I15" s="297"/>
      <c r="J15" s="297"/>
      <c r="K15" s="297"/>
      <c r="L15" s="297"/>
      <c r="M15" s="297"/>
      <c r="N15" s="297"/>
      <c r="O15" s="297"/>
      <c r="P15" s="297"/>
      <c r="Q15" s="297"/>
      <c r="R15" s="297"/>
      <c r="S15" s="297"/>
      <c r="T15" s="297"/>
      <c r="U15" s="297"/>
      <c r="V15" s="297"/>
      <c r="W15" s="297"/>
      <c r="X15" s="287"/>
      <c r="Y15" s="39"/>
      <c r="Z15" s="10"/>
      <c r="AA15" s="10"/>
      <c r="AB15" s="10"/>
      <c r="AC15" s="10"/>
      <c r="AD15" s="10"/>
      <c r="AE15" s="10"/>
      <c r="AF15" s="10"/>
      <c r="AG15" s="10"/>
      <c r="AH15" s="10"/>
      <c r="AI15" s="10"/>
      <c r="AJ15" s="10"/>
      <c r="AK15" s="10"/>
      <c r="AL15" s="10"/>
    </row>
    <row r="16" spans="1:38" ht="18.7" thickTop="1" thickBot="1" x14ac:dyDescent="0.55000000000000004">
      <c r="A16" s="39"/>
      <c r="B16" s="286"/>
      <c r="C16" s="388" t="s">
        <v>245</v>
      </c>
      <c r="D16" s="389"/>
      <c r="E16" s="390"/>
      <c r="F16" s="297"/>
      <c r="G16" s="297"/>
      <c r="H16" s="297"/>
      <c r="I16" s="297"/>
      <c r="J16" s="297"/>
      <c r="K16" s="297"/>
      <c r="L16" s="297"/>
      <c r="M16" s="297"/>
      <c r="N16" s="297"/>
      <c r="O16" s="297"/>
      <c r="P16" s="297"/>
      <c r="Q16" s="297"/>
      <c r="R16" s="297"/>
      <c r="S16" s="297"/>
      <c r="T16" s="297"/>
      <c r="U16" s="297"/>
      <c r="V16" s="297"/>
      <c r="W16" s="297"/>
      <c r="X16" s="287"/>
      <c r="Y16" s="39"/>
      <c r="Z16" s="10"/>
      <c r="AA16" s="10"/>
      <c r="AB16" s="10"/>
      <c r="AC16" s="10"/>
      <c r="AD16" s="10"/>
      <c r="AE16" s="10"/>
      <c r="AF16" s="10"/>
      <c r="AG16" s="10"/>
      <c r="AH16" s="10"/>
      <c r="AI16" s="10"/>
      <c r="AJ16" s="10"/>
      <c r="AK16" s="10"/>
      <c r="AL16" s="10"/>
    </row>
    <row r="17" spans="1:38" ht="14.7" thickTop="1" x14ac:dyDescent="0.5">
      <c r="A17" s="39"/>
      <c r="B17" s="286"/>
      <c r="C17" s="395" t="s">
        <v>237</v>
      </c>
      <c r="D17" s="305">
        <f>MIN(D6,F6,H6,J6,L6,N6,P6,R6,T6,V6)</f>
        <v>0</v>
      </c>
      <c r="E17" s="290" t="s">
        <v>71</v>
      </c>
      <c r="F17" s="297"/>
      <c r="G17" s="297"/>
      <c r="H17" s="297"/>
      <c r="I17" s="297"/>
      <c r="J17" s="297"/>
      <c r="K17" s="297"/>
      <c r="L17" s="297"/>
      <c r="M17" s="297"/>
      <c r="N17" s="297"/>
      <c r="O17" s="297"/>
      <c r="P17" s="297"/>
      <c r="Q17" s="297"/>
      <c r="R17" s="297"/>
      <c r="S17" s="297"/>
      <c r="T17" s="297"/>
      <c r="U17" s="297"/>
      <c r="V17" s="297"/>
      <c r="W17" s="297"/>
      <c r="X17" s="287"/>
      <c r="Y17" s="39"/>
      <c r="Z17" s="10"/>
      <c r="AA17" s="10"/>
      <c r="AB17" s="10"/>
      <c r="AC17" s="10"/>
      <c r="AD17" s="10"/>
      <c r="AE17" s="10"/>
      <c r="AF17" s="10"/>
      <c r="AG17" s="10"/>
      <c r="AH17" s="10"/>
      <c r="AI17" s="10"/>
      <c r="AJ17" s="10"/>
      <c r="AK17" s="10"/>
      <c r="AL17" s="10"/>
    </row>
    <row r="18" spans="1:38" x14ac:dyDescent="0.5">
      <c r="A18" s="39"/>
      <c r="B18" s="286"/>
      <c r="C18" s="391"/>
      <c r="D18" s="306" t="e">
        <f>MIN(D12,F12,H12,J12,L12,N12,P12,R12,T12,V12)</f>
        <v>#DIV/0!</v>
      </c>
      <c r="E18" s="293" t="s">
        <v>72</v>
      </c>
      <c r="F18" s="297"/>
      <c r="G18" s="297"/>
      <c r="H18" s="297"/>
      <c r="I18" s="297"/>
      <c r="J18" s="297"/>
      <c r="K18" s="297"/>
      <c r="L18" s="297"/>
      <c r="M18" s="297"/>
      <c r="N18" s="297"/>
      <c r="O18" s="297"/>
      <c r="P18" s="297"/>
      <c r="Q18" s="297"/>
      <c r="R18" s="297"/>
      <c r="S18" s="297"/>
      <c r="T18" s="297"/>
      <c r="U18" s="297"/>
      <c r="V18" s="297"/>
      <c r="W18" s="297"/>
      <c r="X18" s="287"/>
      <c r="Y18" s="39"/>
      <c r="Z18" s="10"/>
      <c r="AA18" s="10"/>
      <c r="AB18" s="10"/>
      <c r="AC18" s="10"/>
      <c r="AD18" s="10"/>
      <c r="AE18" s="10"/>
      <c r="AF18" s="10"/>
      <c r="AG18" s="10"/>
      <c r="AH18" s="10"/>
      <c r="AI18" s="10"/>
      <c r="AJ18" s="10"/>
      <c r="AK18" s="10"/>
      <c r="AL18" s="10"/>
    </row>
    <row r="19" spans="1:38" x14ac:dyDescent="0.5">
      <c r="A19" s="39"/>
      <c r="B19" s="286"/>
      <c r="C19" s="391" t="s">
        <v>238</v>
      </c>
      <c r="D19" s="306" t="e">
        <f>AVERAGE(D6,F6,H6,J6,L6,N6,P6,R6,T6,V6)</f>
        <v>#DIV/0!</v>
      </c>
      <c r="E19" s="293" t="s">
        <v>71</v>
      </c>
      <c r="F19" s="297"/>
      <c r="G19" s="297"/>
      <c r="H19" s="297"/>
      <c r="I19" s="297"/>
      <c r="J19" s="297"/>
      <c r="K19" s="297"/>
      <c r="L19" s="297"/>
      <c r="M19" s="297"/>
      <c r="N19" s="297"/>
      <c r="O19" s="297"/>
      <c r="P19" s="297"/>
      <c r="Q19" s="297"/>
      <c r="R19" s="297"/>
      <c r="S19" s="297"/>
      <c r="T19" s="297"/>
      <c r="U19" s="297"/>
      <c r="V19" s="297"/>
      <c r="W19" s="297"/>
      <c r="X19" s="287"/>
      <c r="Y19" s="39"/>
      <c r="Z19" s="10"/>
      <c r="AA19" s="10"/>
      <c r="AB19" s="10"/>
      <c r="AC19" s="10"/>
      <c r="AD19" s="10"/>
      <c r="AE19" s="10"/>
      <c r="AF19" s="10"/>
      <c r="AG19" s="10"/>
      <c r="AH19" s="10"/>
      <c r="AI19" s="10"/>
      <c r="AJ19" s="10"/>
      <c r="AK19" s="10"/>
      <c r="AL19" s="10"/>
    </row>
    <row r="20" spans="1:38" x14ac:dyDescent="0.5">
      <c r="A20" s="39"/>
      <c r="B20" s="286"/>
      <c r="C20" s="391"/>
      <c r="D20" s="306" t="e">
        <f>AVERAGE(D12,F12,H12,J12,L12,N12,P12,R12,T12,V12)</f>
        <v>#DIV/0!</v>
      </c>
      <c r="E20" s="293" t="s">
        <v>72</v>
      </c>
      <c r="F20" s="297"/>
      <c r="G20" s="297"/>
      <c r="H20" s="297"/>
      <c r="I20" s="297"/>
      <c r="J20" s="297"/>
      <c r="K20" s="297"/>
      <c r="L20" s="297"/>
      <c r="M20" s="297"/>
      <c r="N20" s="297"/>
      <c r="O20" s="297"/>
      <c r="P20" s="297"/>
      <c r="Q20" s="297"/>
      <c r="R20" s="297"/>
      <c r="S20" s="297"/>
      <c r="T20" s="297"/>
      <c r="U20" s="297"/>
      <c r="V20" s="297"/>
      <c r="W20" s="297"/>
      <c r="X20" s="287"/>
      <c r="Y20" s="39"/>
      <c r="Z20" s="10"/>
      <c r="AA20" s="10"/>
      <c r="AB20" s="10"/>
      <c r="AC20" s="10"/>
      <c r="AD20" s="10"/>
      <c r="AE20" s="10"/>
      <c r="AF20" s="10"/>
      <c r="AG20" s="10"/>
      <c r="AH20" s="10"/>
      <c r="AI20" s="10"/>
      <c r="AJ20" s="10"/>
      <c r="AK20" s="10"/>
      <c r="AL20" s="10"/>
    </row>
    <row r="21" spans="1:38" x14ac:dyDescent="0.5">
      <c r="A21" s="39"/>
      <c r="B21" s="286"/>
      <c r="C21" s="391" t="s">
        <v>239</v>
      </c>
      <c r="D21" s="306">
        <f>MAX(D6,F6,H6,J6,L6,N6,P6,R6,T6,V6)</f>
        <v>0</v>
      </c>
      <c r="E21" s="293" t="s">
        <v>71</v>
      </c>
      <c r="F21" s="297"/>
      <c r="G21" s="297"/>
      <c r="H21" s="297"/>
      <c r="I21" s="297"/>
      <c r="J21" s="297"/>
      <c r="K21" s="297"/>
      <c r="L21" s="297"/>
      <c r="M21" s="297"/>
      <c r="N21" s="297"/>
      <c r="O21" s="297"/>
      <c r="P21" s="297"/>
      <c r="Q21" s="297"/>
      <c r="R21" s="297"/>
      <c r="S21" s="297"/>
      <c r="T21" s="297"/>
      <c r="U21" s="297"/>
      <c r="V21" s="297"/>
      <c r="W21" s="297"/>
      <c r="X21" s="287"/>
      <c r="Y21" s="39"/>
      <c r="Z21" s="10"/>
      <c r="AA21" s="10"/>
      <c r="AB21" s="10"/>
      <c r="AC21" s="10"/>
      <c r="AD21" s="10"/>
      <c r="AE21" s="10"/>
      <c r="AF21" s="10"/>
      <c r="AG21" s="10"/>
      <c r="AH21" s="10"/>
      <c r="AI21" s="10"/>
      <c r="AJ21" s="10"/>
      <c r="AK21" s="10"/>
      <c r="AL21" s="10"/>
    </row>
    <row r="22" spans="1:38" x14ac:dyDescent="0.5">
      <c r="A22" s="39"/>
      <c r="B22" s="286"/>
      <c r="C22" s="391"/>
      <c r="D22" s="306" t="e">
        <f>MAX(D12,F12,H12,J12,L12,N12,P12,R12,T12,V12)</f>
        <v>#DIV/0!</v>
      </c>
      <c r="E22" s="293" t="s">
        <v>72</v>
      </c>
      <c r="F22" s="297"/>
      <c r="G22" s="297"/>
      <c r="H22" s="297"/>
      <c r="I22" s="297"/>
      <c r="J22" s="297"/>
      <c r="K22" s="297"/>
      <c r="L22" s="297"/>
      <c r="M22" s="297"/>
      <c r="N22" s="297"/>
      <c r="O22" s="297"/>
      <c r="P22" s="297"/>
      <c r="Q22" s="297"/>
      <c r="R22" s="297"/>
      <c r="S22" s="297"/>
      <c r="T22" s="297"/>
      <c r="U22" s="297"/>
      <c r="V22" s="297"/>
      <c r="W22" s="297"/>
      <c r="X22" s="287"/>
      <c r="Y22" s="39"/>
      <c r="Z22" s="10"/>
      <c r="AA22" s="10"/>
      <c r="AB22" s="10"/>
      <c r="AC22" s="10"/>
      <c r="AD22" s="10"/>
      <c r="AE22" s="10"/>
      <c r="AF22" s="10"/>
      <c r="AG22" s="10"/>
      <c r="AH22" s="10"/>
      <c r="AI22" s="10"/>
      <c r="AJ22" s="10"/>
      <c r="AK22" s="10"/>
      <c r="AL22" s="10"/>
    </row>
    <row r="23" spans="1:38" x14ac:dyDescent="0.5">
      <c r="A23" s="39"/>
      <c r="B23" s="286"/>
      <c r="C23" s="307" t="s">
        <v>240</v>
      </c>
      <c r="D23" s="308">
        <f>MIN(D14,F14,H14,J14,L14,N14,P14,R14,T14,V14)</f>
        <v>0</v>
      </c>
      <c r="E23" s="293" t="s">
        <v>11</v>
      </c>
      <c r="F23" s="297"/>
      <c r="G23" s="297"/>
      <c r="H23" s="297"/>
      <c r="I23" s="297"/>
      <c r="J23" s="297"/>
      <c r="K23" s="297"/>
      <c r="L23" s="297"/>
      <c r="M23" s="297"/>
      <c r="N23" s="297"/>
      <c r="O23" s="297"/>
      <c r="P23" s="297"/>
      <c r="Q23" s="297"/>
      <c r="R23" s="297"/>
      <c r="S23" s="297"/>
      <c r="T23" s="297"/>
      <c r="U23" s="297"/>
      <c r="V23" s="297"/>
      <c r="W23" s="297"/>
      <c r="X23" s="287"/>
      <c r="Y23" s="39"/>
      <c r="Z23" s="10"/>
      <c r="AA23" s="10"/>
      <c r="AB23" s="10"/>
      <c r="AC23" s="10"/>
      <c r="AD23" s="10"/>
      <c r="AE23" s="10"/>
      <c r="AF23" s="10"/>
      <c r="AG23" s="10"/>
      <c r="AH23" s="10"/>
      <c r="AI23" s="10"/>
      <c r="AJ23" s="10"/>
      <c r="AK23" s="10"/>
      <c r="AL23" s="10"/>
    </row>
    <row r="24" spans="1:38" x14ac:dyDescent="0.5">
      <c r="A24" s="39"/>
      <c r="B24" s="286"/>
      <c r="C24" s="307" t="s">
        <v>241</v>
      </c>
      <c r="D24" s="308">
        <f>AVERAGE(D14,F14,H14,J14,L14,N14,P14,R14,T14,V14)</f>
        <v>0</v>
      </c>
      <c r="E24" s="293" t="s">
        <v>11</v>
      </c>
      <c r="F24" s="297"/>
      <c r="G24" s="297"/>
      <c r="H24" s="297"/>
      <c r="I24" s="297"/>
      <c r="J24" s="297"/>
      <c r="K24" s="297"/>
      <c r="L24" s="297"/>
      <c r="M24" s="297"/>
      <c r="N24" s="297"/>
      <c r="O24" s="297"/>
      <c r="P24" s="297"/>
      <c r="Q24" s="297"/>
      <c r="R24" s="297"/>
      <c r="S24" s="297"/>
      <c r="T24" s="297"/>
      <c r="U24" s="297"/>
      <c r="V24" s="297"/>
      <c r="W24" s="297"/>
      <c r="X24" s="287"/>
      <c r="Y24" s="39"/>
      <c r="Z24" s="10"/>
      <c r="AA24" s="10"/>
      <c r="AB24" s="10"/>
      <c r="AC24" s="10"/>
      <c r="AD24" s="10"/>
      <c r="AE24" s="10"/>
      <c r="AF24" s="10"/>
      <c r="AG24" s="10"/>
      <c r="AH24" s="10"/>
      <c r="AI24" s="10"/>
      <c r="AJ24" s="10"/>
      <c r="AK24" s="10"/>
      <c r="AL24" s="10"/>
    </row>
    <row r="25" spans="1:38" ht="14.7" thickBot="1" x14ac:dyDescent="0.55000000000000004">
      <c r="A25" s="39"/>
      <c r="B25" s="286"/>
      <c r="C25" s="309" t="s">
        <v>242</v>
      </c>
      <c r="D25" s="310">
        <f>MAX(D14,F14,H14,J14,L14,N14,P14,R14,T14,V14)</f>
        <v>0</v>
      </c>
      <c r="E25" s="296" t="s">
        <v>11</v>
      </c>
      <c r="F25" s="297"/>
      <c r="G25" s="297"/>
      <c r="H25" s="297"/>
      <c r="I25" s="297"/>
      <c r="J25" s="297"/>
      <c r="K25" s="297"/>
      <c r="L25" s="297"/>
      <c r="M25" s="297"/>
      <c r="N25" s="297"/>
      <c r="O25" s="297"/>
      <c r="P25" s="297"/>
      <c r="Q25" s="297"/>
      <c r="R25" s="297"/>
      <c r="S25" s="297"/>
      <c r="T25" s="297"/>
      <c r="U25" s="297"/>
      <c r="V25" s="297"/>
      <c r="W25" s="297"/>
      <c r="X25" s="287"/>
      <c r="Y25" s="39"/>
      <c r="Z25" s="10"/>
      <c r="AA25" s="10"/>
      <c r="AB25" s="10"/>
      <c r="AC25" s="10"/>
      <c r="AD25" s="10"/>
      <c r="AE25" s="10"/>
      <c r="AF25" s="10"/>
      <c r="AG25" s="10"/>
      <c r="AH25" s="10"/>
      <c r="AI25" s="10"/>
      <c r="AJ25" s="10"/>
      <c r="AK25" s="10"/>
      <c r="AL25" s="10"/>
    </row>
    <row r="26" spans="1:38" ht="14.7" thickTop="1" x14ac:dyDescent="0.5">
      <c r="A26" s="39"/>
      <c r="B26" s="286"/>
      <c r="C26" s="297"/>
      <c r="D26" s="297"/>
      <c r="E26" s="297"/>
      <c r="F26" s="297"/>
      <c r="G26" s="297"/>
      <c r="H26" s="297"/>
      <c r="I26" s="297"/>
      <c r="J26" s="297"/>
      <c r="K26" s="297"/>
      <c r="L26" s="297"/>
      <c r="M26" s="297"/>
      <c r="N26" s="297"/>
      <c r="O26" s="297"/>
      <c r="P26" s="297"/>
      <c r="Q26" s="297"/>
      <c r="R26" s="297"/>
      <c r="S26" s="297"/>
      <c r="T26" s="297"/>
      <c r="U26" s="297"/>
      <c r="V26" s="297"/>
      <c r="W26" s="297"/>
      <c r="X26" s="287"/>
      <c r="Y26" s="39"/>
      <c r="Z26" s="10"/>
      <c r="AA26" s="10"/>
      <c r="AB26" s="10"/>
      <c r="AC26" s="10"/>
      <c r="AD26" s="10"/>
      <c r="AE26" s="10"/>
      <c r="AF26" s="10"/>
      <c r="AG26" s="10"/>
      <c r="AH26" s="10"/>
      <c r="AI26" s="10"/>
      <c r="AJ26" s="10"/>
      <c r="AK26" s="10"/>
      <c r="AL26" s="10"/>
    </row>
    <row r="27" spans="1:38" x14ac:dyDescent="0.5">
      <c r="A27" s="39"/>
      <c r="B27" s="286"/>
      <c r="C27" s="297"/>
      <c r="D27" s="297"/>
      <c r="E27" s="297"/>
      <c r="F27" s="297"/>
      <c r="G27" s="297"/>
      <c r="H27" s="297"/>
      <c r="I27" s="297"/>
      <c r="J27" s="297"/>
      <c r="K27" s="297"/>
      <c r="L27" s="297"/>
      <c r="M27" s="297"/>
      <c r="N27" s="297"/>
      <c r="O27" s="297"/>
      <c r="P27" s="297"/>
      <c r="Q27" s="297"/>
      <c r="R27" s="297"/>
      <c r="S27" s="297"/>
      <c r="T27" s="297"/>
      <c r="U27" s="297"/>
      <c r="V27" s="297"/>
      <c r="W27" s="297"/>
      <c r="X27" s="287"/>
      <c r="Y27" s="39"/>
      <c r="Z27" s="10"/>
      <c r="AA27" s="10"/>
      <c r="AB27" s="10"/>
      <c r="AC27" s="10"/>
      <c r="AD27" s="10"/>
      <c r="AE27" s="10"/>
      <c r="AF27" s="10"/>
      <c r="AG27" s="10"/>
      <c r="AH27" s="10"/>
      <c r="AI27" s="10"/>
      <c r="AJ27" s="10"/>
      <c r="AK27" s="10"/>
      <c r="AL27" s="10"/>
    </row>
    <row r="28" spans="1:38" x14ac:dyDescent="0.5">
      <c r="A28" s="39"/>
      <c r="B28" s="286"/>
      <c r="C28" s="297"/>
      <c r="D28" s="297"/>
      <c r="E28" s="297"/>
      <c r="F28" s="297"/>
      <c r="G28" s="297"/>
      <c r="H28" s="297"/>
      <c r="I28" s="297"/>
      <c r="J28" s="297"/>
      <c r="K28" s="297"/>
      <c r="L28" s="297"/>
      <c r="M28" s="297"/>
      <c r="N28" s="297"/>
      <c r="O28" s="297"/>
      <c r="P28" s="297"/>
      <c r="Q28" s="297"/>
      <c r="R28" s="297"/>
      <c r="S28" s="297"/>
      <c r="T28" s="297"/>
      <c r="U28" s="297"/>
      <c r="V28" s="297"/>
      <c r="W28" s="297"/>
      <c r="X28" s="287"/>
      <c r="Y28" s="39"/>
      <c r="Z28" s="10"/>
      <c r="AA28" s="10"/>
      <c r="AB28" s="10"/>
      <c r="AC28" s="10"/>
      <c r="AD28" s="10"/>
      <c r="AE28" s="10"/>
      <c r="AF28" s="10"/>
      <c r="AG28" s="10"/>
      <c r="AH28" s="10"/>
      <c r="AI28" s="10"/>
      <c r="AJ28" s="10"/>
      <c r="AK28" s="10"/>
      <c r="AL28" s="10"/>
    </row>
    <row r="29" spans="1:38" x14ac:dyDescent="0.5">
      <c r="A29" s="39"/>
      <c r="B29" s="286"/>
      <c r="C29" s="297"/>
      <c r="D29" s="297"/>
      <c r="E29" s="297"/>
      <c r="F29" s="297"/>
      <c r="G29" s="297"/>
      <c r="H29" s="297"/>
      <c r="I29" s="297"/>
      <c r="J29" s="297"/>
      <c r="K29" s="297"/>
      <c r="L29" s="297"/>
      <c r="M29" s="297"/>
      <c r="N29" s="297"/>
      <c r="O29" s="297"/>
      <c r="P29" s="297"/>
      <c r="Q29" s="297"/>
      <c r="R29" s="297"/>
      <c r="S29" s="297"/>
      <c r="T29" s="297"/>
      <c r="U29" s="297"/>
      <c r="V29" s="297"/>
      <c r="W29" s="297"/>
      <c r="X29" s="287"/>
      <c r="Y29" s="39"/>
      <c r="Z29" s="10"/>
      <c r="AA29" s="10"/>
      <c r="AB29" s="10"/>
      <c r="AC29" s="10"/>
      <c r="AD29" s="10"/>
      <c r="AE29" s="10"/>
      <c r="AF29" s="10"/>
      <c r="AG29" s="10"/>
      <c r="AH29" s="10"/>
      <c r="AI29" s="10"/>
      <c r="AJ29" s="10"/>
      <c r="AK29" s="10"/>
      <c r="AL29" s="10"/>
    </row>
    <row r="30" spans="1:38" x14ac:dyDescent="0.5">
      <c r="A30" s="39"/>
      <c r="B30" s="286"/>
      <c r="C30" s="297"/>
      <c r="D30" s="297"/>
      <c r="E30" s="297"/>
      <c r="F30" s="297"/>
      <c r="G30" s="297"/>
      <c r="H30" s="297"/>
      <c r="I30" s="297"/>
      <c r="J30" s="297"/>
      <c r="K30" s="297"/>
      <c r="L30" s="297"/>
      <c r="M30" s="297"/>
      <c r="N30" s="297"/>
      <c r="O30" s="297"/>
      <c r="P30" s="297"/>
      <c r="Q30" s="297"/>
      <c r="R30" s="297"/>
      <c r="S30" s="297"/>
      <c r="T30" s="297"/>
      <c r="U30" s="297"/>
      <c r="V30" s="297"/>
      <c r="W30" s="297"/>
      <c r="X30" s="287"/>
      <c r="Y30" s="39"/>
      <c r="Z30" s="10"/>
      <c r="AA30" s="10"/>
      <c r="AB30" s="10"/>
      <c r="AC30" s="10"/>
      <c r="AD30" s="10"/>
      <c r="AE30" s="10"/>
      <c r="AF30" s="10"/>
      <c r="AG30" s="10"/>
      <c r="AH30" s="10"/>
      <c r="AI30" s="10"/>
      <c r="AJ30" s="10"/>
      <c r="AK30" s="10"/>
      <c r="AL30" s="10"/>
    </row>
    <row r="31" spans="1:38" x14ac:dyDescent="0.5">
      <c r="A31" s="39"/>
      <c r="B31" s="286"/>
      <c r="C31" s="297"/>
      <c r="D31" s="297"/>
      <c r="E31" s="297"/>
      <c r="F31" s="297"/>
      <c r="G31" s="297"/>
      <c r="H31" s="297"/>
      <c r="I31" s="297"/>
      <c r="J31" s="297"/>
      <c r="K31" s="297"/>
      <c r="L31" s="297"/>
      <c r="M31" s="297"/>
      <c r="N31" s="297"/>
      <c r="O31" s="297"/>
      <c r="P31" s="297"/>
      <c r="Q31" s="297"/>
      <c r="R31" s="297"/>
      <c r="S31" s="297"/>
      <c r="T31" s="297"/>
      <c r="U31" s="297"/>
      <c r="V31" s="297"/>
      <c r="W31" s="297"/>
      <c r="X31" s="287"/>
      <c r="Y31" s="39"/>
      <c r="Z31" s="10"/>
      <c r="AA31" s="10"/>
      <c r="AB31" s="10"/>
      <c r="AC31" s="10"/>
      <c r="AD31" s="10"/>
      <c r="AE31" s="10"/>
      <c r="AF31" s="10"/>
      <c r="AG31" s="10"/>
      <c r="AH31" s="10"/>
      <c r="AI31" s="10"/>
      <c r="AJ31" s="10"/>
      <c r="AK31" s="10"/>
      <c r="AL31" s="10"/>
    </row>
    <row r="32" spans="1:38" x14ac:dyDescent="0.5">
      <c r="A32" s="39"/>
      <c r="B32" s="286"/>
      <c r="C32" s="297"/>
      <c r="D32" s="297"/>
      <c r="E32" s="297"/>
      <c r="F32" s="297"/>
      <c r="G32" s="297"/>
      <c r="H32" s="297"/>
      <c r="I32" s="297"/>
      <c r="J32" s="297"/>
      <c r="K32" s="297"/>
      <c r="L32" s="297"/>
      <c r="M32" s="297"/>
      <c r="N32" s="297"/>
      <c r="O32" s="297"/>
      <c r="P32" s="297"/>
      <c r="Q32" s="297"/>
      <c r="R32" s="297"/>
      <c r="S32" s="297"/>
      <c r="T32" s="297"/>
      <c r="U32" s="297"/>
      <c r="V32" s="297"/>
      <c r="W32" s="297"/>
      <c r="X32" s="287"/>
      <c r="Y32" s="39"/>
      <c r="Z32" s="10"/>
      <c r="AA32" s="10"/>
      <c r="AB32" s="10"/>
      <c r="AC32" s="10"/>
      <c r="AD32" s="10"/>
      <c r="AE32" s="10"/>
      <c r="AF32" s="10"/>
      <c r="AG32" s="10"/>
      <c r="AH32" s="10"/>
      <c r="AI32" s="10"/>
      <c r="AJ32" s="10"/>
      <c r="AK32" s="10"/>
      <c r="AL32" s="10"/>
    </row>
    <row r="33" spans="1:39" x14ac:dyDescent="0.5">
      <c r="A33" s="39"/>
      <c r="B33" s="286"/>
      <c r="C33" s="297"/>
      <c r="D33" s="297"/>
      <c r="E33" s="297"/>
      <c r="F33" s="297"/>
      <c r="G33" s="297"/>
      <c r="H33" s="297"/>
      <c r="I33" s="297"/>
      <c r="J33" s="297"/>
      <c r="K33" s="297"/>
      <c r="L33" s="297"/>
      <c r="M33" s="297"/>
      <c r="N33" s="297"/>
      <c r="O33" s="297"/>
      <c r="P33" s="297"/>
      <c r="Q33" s="297"/>
      <c r="R33" s="297"/>
      <c r="S33" s="297"/>
      <c r="T33" s="297"/>
      <c r="U33" s="297"/>
      <c r="V33" s="297"/>
      <c r="W33" s="297"/>
      <c r="X33" s="287"/>
      <c r="Y33" s="39"/>
      <c r="Z33" s="10"/>
      <c r="AA33" s="10"/>
      <c r="AB33" s="10"/>
      <c r="AC33" s="10"/>
      <c r="AD33" s="10"/>
      <c r="AE33" s="10"/>
      <c r="AF33" s="10"/>
      <c r="AG33" s="10"/>
      <c r="AH33" s="10"/>
      <c r="AI33" s="10"/>
      <c r="AJ33" s="10"/>
      <c r="AK33" s="10"/>
      <c r="AL33" s="10"/>
    </row>
    <row r="34" spans="1:39" x14ac:dyDescent="0.5">
      <c r="A34" s="39"/>
      <c r="B34" s="286"/>
      <c r="C34" s="297"/>
      <c r="D34" s="297"/>
      <c r="E34" s="297"/>
      <c r="F34" s="297"/>
      <c r="G34" s="297"/>
      <c r="H34" s="297"/>
      <c r="I34" s="297"/>
      <c r="J34" s="297"/>
      <c r="K34" s="297"/>
      <c r="L34" s="297"/>
      <c r="M34" s="297"/>
      <c r="N34" s="297"/>
      <c r="O34" s="297"/>
      <c r="P34" s="297"/>
      <c r="Q34" s="297"/>
      <c r="R34" s="297"/>
      <c r="S34" s="297"/>
      <c r="T34" s="297"/>
      <c r="U34" s="297"/>
      <c r="V34" s="297"/>
      <c r="W34" s="297"/>
      <c r="X34" s="287"/>
      <c r="Y34" s="39"/>
      <c r="Z34" s="10"/>
      <c r="AA34" s="10"/>
      <c r="AB34" s="10"/>
      <c r="AC34" s="10"/>
      <c r="AD34" s="10"/>
      <c r="AE34" s="10"/>
      <c r="AF34" s="10"/>
      <c r="AG34" s="10"/>
      <c r="AH34" s="10"/>
      <c r="AI34" s="10"/>
      <c r="AJ34" s="10"/>
      <c r="AK34" s="10"/>
      <c r="AL34" s="10"/>
    </row>
    <row r="35" spans="1:39" x14ac:dyDescent="0.5">
      <c r="A35" s="39"/>
      <c r="B35" s="286"/>
      <c r="C35" s="297"/>
      <c r="D35" s="297"/>
      <c r="E35" s="297"/>
      <c r="F35" s="297"/>
      <c r="G35" s="297"/>
      <c r="H35" s="297"/>
      <c r="I35" s="297"/>
      <c r="J35" s="297"/>
      <c r="K35" s="297"/>
      <c r="L35" s="297"/>
      <c r="M35" s="297"/>
      <c r="N35" s="297"/>
      <c r="O35" s="297"/>
      <c r="P35" s="297"/>
      <c r="Q35" s="297"/>
      <c r="R35" s="297"/>
      <c r="S35" s="297"/>
      <c r="T35" s="297"/>
      <c r="U35" s="297"/>
      <c r="V35" s="297"/>
      <c r="W35" s="297"/>
      <c r="X35" s="287"/>
      <c r="Y35" s="39"/>
      <c r="Z35" s="10"/>
      <c r="AA35" s="10"/>
      <c r="AB35" s="10"/>
      <c r="AC35" s="10"/>
      <c r="AD35" s="10"/>
      <c r="AE35" s="10"/>
      <c r="AF35" s="10"/>
      <c r="AG35" s="10"/>
      <c r="AH35" s="10"/>
      <c r="AI35" s="10"/>
      <c r="AJ35" s="10"/>
      <c r="AK35" s="10"/>
      <c r="AL35" s="10"/>
    </row>
    <row r="36" spans="1:39" x14ac:dyDescent="0.5">
      <c r="A36" s="39"/>
      <c r="B36" s="286"/>
      <c r="C36" s="297"/>
      <c r="D36" s="297"/>
      <c r="E36" s="297"/>
      <c r="F36" s="297"/>
      <c r="G36" s="297"/>
      <c r="H36" s="297"/>
      <c r="I36" s="297"/>
      <c r="J36" s="297"/>
      <c r="K36" s="297"/>
      <c r="L36" s="297"/>
      <c r="M36" s="297"/>
      <c r="N36" s="297"/>
      <c r="O36" s="297"/>
      <c r="P36" s="297"/>
      <c r="Q36" s="297"/>
      <c r="R36" s="297"/>
      <c r="S36" s="297"/>
      <c r="T36" s="297"/>
      <c r="U36" s="297"/>
      <c r="V36" s="297"/>
      <c r="W36" s="297"/>
      <c r="X36" s="287"/>
      <c r="Y36" s="39"/>
      <c r="Z36" s="10"/>
      <c r="AA36" s="10"/>
      <c r="AB36" s="10"/>
      <c r="AC36" s="10"/>
      <c r="AD36" s="10"/>
      <c r="AE36" s="10"/>
      <c r="AF36" s="10"/>
      <c r="AG36" s="10"/>
      <c r="AH36" s="10"/>
      <c r="AI36" s="10"/>
      <c r="AJ36" s="10"/>
      <c r="AK36" s="10"/>
      <c r="AL36" s="10"/>
    </row>
    <row r="37" spans="1:39" x14ac:dyDescent="0.5">
      <c r="A37" s="39"/>
      <c r="B37" s="286"/>
      <c r="C37" s="297"/>
      <c r="D37" s="297"/>
      <c r="E37" s="297"/>
      <c r="F37" s="297"/>
      <c r="G37" s="297"/>
      <c r="H37" s="297"/>
      <c r="I37" s="297"/>
      <c r="J37" s="297"/>
      <c r="K37" s="297"/>
      <c r="L37" s="297"/>
      <c r="M37" s="297"/>
      <c r="N37" s="297"/>
      <c r="O37" s="297"/>
      <c r="P37" s="297"/>
      <c r="Q37" s="297"/>
      <c r="R37" s="297"/>
      <c r="S37" s="297"/>
      <c r="T37" s="297"/>
      <c r="U37" s="297"/>
      <c r="V37" s="297"/>
      <c r="W37" s="297"/>
      <c r="X37" s="287"/>
      <c r="Y37" s="39"/>
      <c r="Z37" s="10"/>
      <c r="AA37" s="10"/>
      <c r="AB37" s="10"/>
      <c r="AC37" s="10"/>
      <c r="AD37" s="10"/>
      <c r="AE37" s="10"/>
      <c r="AF37" s="10"/>
      <c r="AG37" s="10"/>
      <c r="AH37" s="10"/>
      <c r="AI37" s="10"/>
      <c r="AJ37" s="10"/>
      <c r="AK37" s="10"/>
      <c r="AL37" s="10"/>
    </row>
    <row r="38" spans="1:39" x14ac:dyDescent="0.5">
      <c r="A38" s="39"/>
      <c r="B38" s="286"/>
      <c r="C38" s="297"/>
      <c r="D38" s="297"/>
      <c r="E38" s="297"/>
      <c r="F38" s="297"/>
      <c r="G38" s="297"/>
      <c r="H38" s="297"/>
      <c r="I38" s="297"/>
      <c r="J38" s="297"/>
      <c r="K38" s="297"/>
      <c r="L38" s="297"/>
      <c r="M38" s="297"/>
      <c r="N38" s="297"/>
      <c r="O38" s="297"/>
      <c r="P38" s="297"/>
      <c r="Q38" s="297"/>
      <c r="R38" s="297"/>
      <c r="S38" s="297"/>
      <c r="T38" s="297"/>
      <c r="U38" s="297"/>
      <c r="V38" s="297"/>
      <c r="W38" s="297"/>
      <c r="X38" s="287"/>
      <c r="Y38" s="39"/>
      <c r="Z38" s="10"/>
      <c r="AA38" s="10"/>
      <c r="AB38" s="10"/>
      <c r="AC38" s="10"/>
      <c r="AD38" s="10"/>
      <c r="AE38" s="10"/>
      <c r="AF38" s="10"/>
      <c r="AG38" s="10"/>
      <c r="AH38" s="10"/>
      <c r="AI38" s="10"/>
      <c r="AJ38" s="10"/>
      <c r="AK38" s="10"/>
      <c r="AL38" s="10"/>
    </row>
    <row r="39" spans="1:39" x14ac:dyDescent="0.5">
      <c r="A39" s="39"/>
      <c r="B39" s="286"/>
      <c r="C39" s="297"/>
      <c r="D39" s="297"/>
      <c r="E39" s="297"/>
      <c r="F39" s="297"/>
      <c r="G39" s="297"/>
      <c r="H39" s="297"/>
      <c r="I39" s="297"/>
      <c r="J39" s="297"/>
      <c r="K39" s="297"/>
      <c r="L39" s="297"/>
      <c r="M39" s="297"/>
      <c r="N39" s="297"/>
      <c r="O39" s="297"/>
      <c r="P39" s="297"/>
      <c r="Q39" s="297"/>
      <c r="R39" s="297"/>
      <c r="S39" s="297"/>
      <c r="T39" s="297"/>
      <c r="U39" s="297"/>
      <c r="V39" s="297"/>
      <c r="W39" s="297"/>
      <c r="X39" s="287"/>
      <c r="Y39" s="39"/>
      <c r="Z39" s="10"/>
      <c r="AA39" s="10"/>
      <c r="AB39" s="10"/>
      <c r="AC39" s="10"/>
      <c r="AD39" s="10"/>
      <c r="AE39" s="10"/>
      <c r="AF39" s="10"/>
      <c r="AG39" s="10"/>
      <c r="AH39" s="10"/>
      <c r="AI39" s="10"/>
      <c r="AJ39" s="10"/>
      <c r="AK39" s="10"/>
      <c r="AL39" s="10"/>
    </row>
    <row r="40" spans="1:39" x14ac:dyDescent="0.5">
      <c r="A40" s="39"/>
      <c r="B40" s="286"/>
      <c r="C40" s="297"/>
      <c r="D40" s="297"/>
      <c r="E40" s="297"/>
      <c r="F40" s="297"/>
      <c r="G40" s="297"/>
      <c r="H40" s="297"/>
      <c r="I40" s="297"/>
      <c r="J40" s="297"/>
      <c r="K40" s="297"/>
      <c r="L40" s="297"/>
      <c r="M40" s="297"/>
      <c r="N40" s="297"/>
      <c r="O40" s="297"/>
      <c r="P40" s="297"/>
      <c r="Q40" s="297"/>
      <c r="R40" s="297"/>
      <c r="S40" s="297"/>
      <c r="T40" s="297"/>
      <c r="U40" s="297"/>
      <c r="V40" s="297"/>
      <c r="W40" s="297"/>
      <c r="X40" s="287"/>
      <c r="Y40" s="39"/>
      <c r="Z40" s="10"/>
      <c r="AA40" s="10"/>
      <c r="AB40" s="10"/>
      <c r="AC40" s="10"/>
      <c r="AD40" s="10"/>
      <c r="AE40" s="10"/>
      <c r="AF40" s="10"/>
      <c r="AG40" s="10"/>
      <c r="AH40" s="10"/>
      <c r="AI40" s="10"/>
      <c r="AJ40" s="10"/>
      <c r="AK40" s="10"/>
      <c r="AL40" s="10"/>
    </row>
    <row r="41" spans="1:39" ht="20.350000000000001" customHeight="1" x14ac:dyDescent="0.5">
      <c r="A41" s="39"/>
      <c r="B41" s="286"/>
      <c r="C41" s="297"/>
      <c r="D41" s="297"/>
      <c r="E41" s="297"/>
      <c r="F41" s="297"/>
      <c r="G41" s="297"/>
      <c r="H41" s="297"/>
      <c r="I41" s="297"/>
      <c r="J41" s="297"/>
      <c r="K41" s="297"/>
      <c r="L41" s="297"/>
      <c r="M41" s="297"/>
      <c r="N41" s="297"/>
      <c r="O41" s="297"/>
      <c r="P41" s="297"/>
      <c r="Q41" s="297"/>
      <c r="R41" s="297"/>
      <c r="S41" s="297"/>
      <c r="T41" s="297"/>
      <c r="U41" s="297"/>
      <c r="V41" s="297"/>
      <c r="W41" s="297"/>
      <c r="X41" s="287"/>
      <c r="Y41" s="39"/>
      <c r="Z41" s="10"/>
      <c r="AA41" s="10"/>
      <c r="AB41" s="10"/>
      <c r="AC41" s="10"/>
      <c r="AD41" s="10"/>
      <c r="AE41" s="10"/>
      <c r="AF41" s="10"/>
      <c r="AG41" s="10"/>
      <c r="AH41" s="10"/>
      <c r="AI41" s="10"/>
      <c r="AJ41" s="10"/>
      <c r="AK41" s="10"/>
      <c r="AL41" s="10"/>
    </row>
    <row r="42" spans="1:39" x14ac:dyDescent="0.5">
      <c r="A42" s="39"/>
      <c r="B42" s="286"/>
      <c r="C42" s="297"/>
      <c r="D42" s="297"/>
      <c r="E42" s="297"/>
      <c r="F42" s="297"/>
      <c r="G42" s="297"/>
      <c r="H42" s="297"/>
      <c r="I42" s="297"/>
      <c r="J42" s="297"/>
      <c r="K42" s="297"/>
      <c r="L42" s="297"/>
      <c r="M42" s="297"/>
      <c r="N42" s="297"/>
      <c r="O42" s="297"/>
      <c r="P42" s="297"/>
      <c r="Q42" s="297"/>
      <c r="R42" s="297"/>
      <c r="S42" s="297"/>
      <c r="T42" s="297"/>
      <c r="U42" s="297"/>
      <c r="V42" s="297"/>
      <c r="W42" s="297"/>
      <c r="X42" s="287"/>
      <c r="Y42" s="39"/>
      <c r="Z42" s="10"/>
      <c r="AA42" s="10"/>
      <c r="AB42" s="10"/>
      <c r="AC42" s="10"/>
      <c r="AD42" s="10"/>
      <c r="AE42" s="10"/>
      <c r="AF42" s="10"/>
      <c r="AG42" s="10"/>
      <c r="AH42" s="10"/>
      <c r="AI42" s="10"/>
      <c r="AJ42" s="10"/>
      <c r="AK42" s="10"/>
      <c r="AL42" s="10"/>
      <c r="AM42" s="10"/>
    </row>
    <row r="43" spans="1:39" x14ac:dyDescent="0.5">
      <c r="A43" s="39"/>
      <c r="B43" s="286"/>
      <c r="C43" s="297"/>
      <c r="D43" s="297"/>
      <c r="E43" s="297"/>
      <c r="F43" s="297"/>
      <c r="G43" s="297"/>
      <c r="H43" s="297"/>
      <c r="I43" s="297"/>
      <c r="J43" s="297"/>
      <c r="K43" s="297"/>
      <c r="L43" s="297"/>
      <c r="M43" s="297"/>
      <c r="N43" s="297"/>
      <c r="O43" s="297"/>
      <c r="P43" s="297"/>
      <c r="Q43" s="297"/>
      <c r="R43" s="297"/>
      <c r="S43" s="297"/>
      <c r="T43" s="297"/>
      <c r="U43" s="297"/>
      <c r="V43" s="297"/>
      <c r="W43" s="297"/>
      <c r="X43" s="287"/>
      <c r="Y43" s="39"/>
      <c r="Z43" s="10"/>
      <c r="AA43" s="10"/>
      <c r="AB43" s="10"/>
      <c r="AC43" s="10"/>
      <c r="AD43" s="10"/>
      <c r="AE43" s="10"/>
      <c r="AF43" s="10"/>
      <c r="AG43" s="10"/>
      <c r="AH43" s="10"/>
      <c r="AI43" s="10"/>
      <c r="AJ43" s="10"/>
      <c r="AK43" s="10"/>
      <c r="AL43" s="10"/>
      <c r="AM43" s="10"/>
    </row>
    <row r="44" spans="1:39" x14ac:dyDescent="0.5">
      <c r="A44" s="39"/>
      <c r="B44" s="286"/>
      <c r="C44" s="297"/>
      <c r="D44" s="297"/>
      <c r="E44" s="297"/>
      <c r="F44" s="297"/>
      <c r="G44" s="311"/>
      <c r="H44" s="311"/>
      <c r="I44" s="311"/>
      <c r="J44" s="311"/>
      <c r="K44" s="297"/>
      <c r="L44" s="297"/>
      <c r="M44" s="297"/>
      <c r="N44" s="297"/>
      <c r="O44" s="297"/>
      <c r="P44" s="297"/>
      <c r="Q44" s="297"/>
      <c r="R44" s="297"/>
      <c r="S44" s="297"/>
      <c r="T44" s="297"/>
      <c r="U44" s="297"/>
      <c r="V44" s="297"/>
      <c r="W44" s="297"/>
      <c r="X44" s="287"/>
      <c r="Y44" s="39"/>
      <c r="Z44" s="10"/>
      <c r="AA44" s="10"/>
      <c r="AB44" s="10"/>
      <c r="AC44" s="10"/>
      <c r="AD44" s="10"/>
      <c r="AE44" s="10"/>
      <c r="AF44" s="10"/>
      <c r="AG44" s="10"/>
      <c r="AH44" s="10"/>
      <c r="AI44" s="10"/>
      <c r="AJ44" s="10"/>
      <c r="AK44" s="10"/>
      <c r="AL44" s="10"/>
      <c r="AM44" s="10"/>
    </row>
    <row r="45" spans="1:39" x14ac:dyDescent="0.5">
      <c r="A45" s="39"/>
      <c r="B45" s="286"/>
      <c r="C45" s="297"/>
      <c r="D45" s="297"/>
      <c r="E45" s="297"/>
      <c r="F45" s="297"/>
      <c r="G45" s="297"/>
      <c r="H45" s="297"/>
      <c r="I45" s="297"/>
      <c r="J45" s="297"/>
      <c r="K45" s="297"/>
      <c r="L45" s="297"/>
      <c r="M45" s="297"/>
      <c r="N45" s="297"/>
      <c r="O45" s="297"/>
      <c r="P45" s="297"/>
      <c r="Q45" s="297"/>
      <c r="R45" s="297"/>
      <c r="S45" s="297"/>
      <c r="T45" s="297"/>
      <c r="U45" s="297"/>
      <c r="V45" s="297"/>
      <c r="W45" s="297"/>
      <c r="X45" s="287"/>
      <c r="Y45" s="39"/>
      <c r="Z45" s="10"/>
      <c r="AA45" s="10"/>
      <c r="AB45" s="10"/>
      <c r="AC45" s="10"/>
      <c r="AD45" s="10"/>
      <c r="AE45" s="10"/>
      <c r="AF45" s="10"/>
      <c r="AG45" s="10"/>
      <c r="AH45" s="10"/>
      <c r="AI45" s="10"/>
      <c r="AJ45" s="10"/>
      <c r="AK45" s="10"/>
      <c r="AL45" s="10"/>
      <c r="AM45" s="10"/>
    </row>
    <row r="46" spans="1:39" x14ac:dyDescent="0.5">
      <c r="A46" s="39"/>
      <c r="B46" s="286"/>
      <c r="C46" s="297"/>
      <c r="D46" s="297"/>
      <c r="E46" s="297"/>
      <c r="F46" s="297"/>
      <c r="G46" s="297"/>
      <c r="H46" s="297"/>
      <c r="I46" s="297"/>
      <c r="J46" s="297"/>
      <c r="K46" s="297"/>
      <c r="L46" s="297"/>
      <c r="M46" s="297"/>
      <c r="N46" s="297"/>
      <c r="O46" s="297"/>
      <c r="P46" s="297"/>
      <c r="Q46" s="297"/>
      <c r="R46" s="297"/>
      <c r="S46" s="297"/>
      <c r="T46" s="297"/>
      <c r="U46" s="297"/>
      <c r="V46" s="297"/>
      <c r="W46" s="297"/>
      <c r="X46" s="287"/>
      <c r="Y46" s="39"/>
      <c r="Z46" s="10"/>
      <c r="AA46" s="10"/>
      <c r="AB46" s="10"/>
      <c r="AC46" s="10"/>
      <c r="AD46" s="10"/>
      <c r="AE46" s="10"/>
      <c r="AF46" s="10"/>
      <c r="AG46" s="10"/>
      <c r="AH46" s="10"/>
      <c r="AI46" s="10"/>
      <c r="AJ46" s="10"/>
      <c r="AK46" s="10"/>
      <c r="AL46" s="10"/>
      <c r="AM46" s="10"/>
    </row>
    <row r="47" spans="1:39" ht="14.7" thickBot="1" x14ac:dyDescent="0.55000000000000004">
      <c r="A47" s="39"/>
      <c r="B47" s="312"/>
      <c r="C47" s="213"/>
      <c r="D47" s="213"/>
      <c r="E47" s="213"/>
      <c r="F47" s="213"/>
      <c r="G47" s="213"/>
      <c r="H47" s="213"/>
      <c r="I47" s="213"/>
      <c r="J47" s="213"/>
      <c r="K47" s="213"/>
      <c r="L47" s="213"/>
      <c r="M47" s="213"/>
      <c r="N47" s="213"/>
      <c r="O47" s="213"/>
      <c r="P47" s="213"/>
      <c r="Q47" s="213"/>
      <c r="R47" s="213"/>
      <c r="S47" s="213"/>
      <c r="T47" s="213"/>
      <c r="U47" s="213"/>
      <c r="V47" s="213"/>
      <c r="W47" s="213"/>
      <c r="X47" s="313"/>
      <c r="Y47" s="39"/>
      <c r="Z47" s="10"/>
      <c r="AA47" s="10"/>
      <c r="AB47" s="10"/>
      <c r="AC47" s="10"/>
      <c r="AD47" s="10"/>
      <c r="AE47" s="10"/>
      <c r="AF47" s="10"/>
      <c r="AG47" s="10"/>
      <c r="AH47" s="10"/>
      <c r="AI47" s="10"/>
      <c r="AJ47" s="10"/>
      <c r="AK47" s="10"/>
      <c r="AL47" s="10"/>
      <c r="AM47" s="10"/>
    </row>
    <row r="48" spans="1:39" ht="14.7" thickTop="1" x14ac:dyDescent="0.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10"/>
      <c r="AA48" s="10"/>
      <c r="AB48" s="10"/>
      <c r="AC48" s="10"/>
      <c r="AD48" s="10"/>
      <c r="AE48" s="10"/>
      <c r="AF48" s="10"/>
      <c r="AG48" s="10"/>
      <c r="AH48" s="10"/>
      <c r="AI48" s="10"/>
      <c r="AJ48" s="10"/>
      <c r="AK48" s="10"/>
      <c r="AL48" s="10"/>
      <c r="AM48" s="10"/>
    </row>
    <row r="49" spans="1:39" x14ac:dyDescent="0.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10"/>
      <c r="AA49" s="10"/>
      <c r="AB49" s="10"/>
      <c r="AC49" s="10"/>
      <c r="AD49" s="10"/>
      <c r="AE49" s="10"/>
      <c r="AF49" s="10"/>
      <c r="AG49" s="10"/>
      <c r="AH49" s="10"/>
      <c r="AI49" s="10"/>
      <c r="AJ49" s="10"/>
      <c r="AK49" s="10"/>
      <c r="AL49" s="10"/>
      <c r="AM49" s="10"/>
    </row>
    <row r="50" spans="1:39" x14ac:dyDescent="0.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10"/>
      <c r="AA50" s="10"/>
      <c r="AB50" s="10"/>
      <c r="AC50" s="10"/>
      <c r="AD50" s="10"/>
      <c r="AE50" s="10"/>
      <c r="AF50" s="10"/>
      <c r="AG50" s="10"/>
      <c r="AH50" s="10"/>
      <c r="AI50" s="10"/>
      <c r="AJ50" s="10"/>
      <c r="AK50" s="10"/>
      <c r="AL50" s="10"/>
      <c r="AM50" s="10"/>
    </row>
    <row r="51" spans="1:39" x14ac:dyDescent="0.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10"/>
      <c r="AA51" s="10"/>
      <c r="AB51" s="10"/>
      <c r="AC51" s="10"/>
      <c r="AD51" s="10"/>
      <c r="AE51" s="10"/>
      <c r="AF51" s="10"/>
      <c r="AG51" s="10"/>
      <c r="AH51" s="10"/>
      <c r="AI51" s="10"/>
      <c r="AJ51" s="10"/>
      <c r="AK51" s="10"/>
      <c r="AL51" s="10"/>
      <c r="AM51" s="10"/>
    </row>
    <row r="52" spans="1:39" x14ac:dyDescent="0.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x14ac:dyDescent="0.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row>
    <row r="54" spans="1:39" x14ac:dyDescent="0.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row>
    <row r="55" spans="1:39" x14ac:dyDescent="0.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row r="56" spans="1:39" x14ac:dyDescent="0.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row>
    <row r="57" spans="1:39" x14ac:dyDescent="0.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row>
    <row r="58" spans="1:39" x14ac:dyDescent="0.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row>
    <row r="59" spans="1:39" x14ac:dyDescent="0.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row>
    <row r="60" spans="1:39" x14ac:dyDescent="0.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row>
    <row r="61" spans="1:39" x14ac:dyDescent="0.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x14ac:dyDescent="0.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row>
    <row r="63" spans="1:39" x14ac:dyDescent="0.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row>
    <row r="64" spans="1:39" x14ac:dyDescent="0.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row>
    <row r="65" spans="1:39" x14ac:dyDescent="0.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row>
    <row r="66" spans="1:39" x14ac:dyDescent="0.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row>
    <row r="67" spans="1:39" x14ac:dyDescent="0.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row>
    <row r="68" spans="1:39" x14ac:dyDescent="0.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39" x14ac:dyDescent="0.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row>
    <row r="70" spans="1:39" x14ac:dyDescent="0.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row>
    <row r="71" spans="1:39" x14ac:dyDescent="0.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row>
    <row r="72" spans="1:39" x14ac:dyDescent="0.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row>
    <row r="73" spans="1:39" x14ac:dyDescent="0.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row>
    <row r="74" spans="1:39" x14ac:dyDescent="0.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row>
    <row r="75" spans="1:39" x14ac:dyDescent="0.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row>
    <row r="76" spans="1:39" x14ac:dyDescent="0.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row>
    <row r="77" spans="1:39" x14ac:dyDescent="0.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row>
    <row r="78" spans="1:39" x14ac:dyDescent="0.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row>
    <row r="79" spans="1:39" x14ac:dyDescent="0.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row>
    <row r="80" spans="1:39" x14ac:dyDescent="0.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1:39" x14ac:dyDescent="0.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39" x14ac:dyDescent="0.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39" x14ac:dyDescent="0.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39" x14ac:dyDescent="0.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39" x14ac:dyDescent="0.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39" x14ac:dyDescent="0.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39" x14ac:dyDescent="0.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row>
    <row r="88" spans="1:39" x14ac:dyDescent="0.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row>
    <row r="89" spans="1:39" x14ac:dyDescent="0.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row>
    <row r="90" spans="1:39" x14ac:dyDescent="0.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row>
    <row r="91" spans="1:39" x14ac:dyDescent="0.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row>
    <row r="92" spans="1:39" x14ac:dyDescent="0.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row>
    <row r="93" spans="1:39" x14ac:dyDescent="0.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row>
    <row r="94" spans="1:39" x14ac:dyDescent="0.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row>
    <row r="95" spans="1:39" x14ac:dyDescent="0.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row>
    <row r="96" spans="1:39" x14ac:dyDescent="0.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row>
    <row r="97" spans="1:39" x14ac:dyDescent="0.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row>
    <row r="98" spans="1:39" x14ac:dyDescent="0.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row>
    <row r="99" spans="1:39" x14ac:dyDescent="0.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row>
    <row r="100" spans="1:39" x14ac:dyDescent="0.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row>
    <row r="101" spans="1:39" x14ac:dyDescent="0.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row>
    <row r="102" spans="1:39" x14ac:dyDescent="0.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row>
    <row r="103" spans="1:39" x14ac:dyDescent="0.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row>
    <row r="104" spans="1:39" x14ac:dyDescent="0.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row>
    <row r="105" spans="1:39" x14ac:dyDescent="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row>
    <row r="106" spans="1:39" x14ac:dyDescent="0.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x14ac:dyDescent="0.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row>
    <row r="108" spans="1:39" x14ac:dyDescent="0.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row>
    <row r="109" spans="1:39" x14ac:dyDescent="0.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row>
    <row r="110" spans="1:39" x14ac:dyDescent="0.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row>
    <row r="111" spans="1:39" x14ac:dyDescent="0.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row>
    <row r="112" spans="1:39" x14ac:dyDescent="0.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row>
    <row r="113" spans="1:39" x14ac:dyDescent="0.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row>
    <row r="114" spans="1:39" x14ac:dyDescent="0.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row>
    <row r="115" spans="1:39" x14ac:dyDescent="0.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row>
    <row r="116" spans="1:39" x14ac:dyDescent="0.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row>
    <row r="117" spans="1:39" x14ac:dyDescent="0.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row>
    <row r="118" spans="1:39" x14ac:dyDescent="0.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row>
    <row r="119" spans="1:39" x14ac:dyDescent="0.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row>
    <row r="120" spans="1:39" x14ac:dyDescent="0.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row>
    <row r="121" spans="1:39" x14ac:dyDescent="0.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row>
    <row r="122" spans="1:39" x14ac:dyDescent="0.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row>
    <row r="123" spans="1:39" x14ac:dyDescent="0.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row>
    <row r="124" spans="1:39" x14ac:dyDescent="0.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row>
    <row r="125" spans="1:39" x14ac:dyDescent="0.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row>
    <row r="126" spans="1:39" x14ac:dyDescent="0.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row>
    <row r="127" spans="1:39" x14ac:dyDescent="0.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1:39" x14ac:dyDescent="0.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sheetData>
  <sheetProtection algorithmName="SHA-512" hashValue="9+pCYqIfiHSKWHdBPRQksR/15Ah6jvTmPI0ohWz6QX9K0UsleVhsXeNaOzkE3TVWezqWE6RA5ZyuYU2dvlj8ew==" saltValue="b9Xr2W9K63JqRamKzAFDwA==" spinCount="100000" sheet="1" objects="1" scenarios="1" selectLockedCells="1"/>
  <mergeCells count="6">
    <mergeCell ref="C3:W3"/>
    <mergeCell ref="C21:C22"/>
    <mergeCell ref="C10:W10"/>
    <mergeCell ref="C17:C18"/>
    <mergeCell ref="C19:C20"/>
    <mergeCell ref="C16:E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AD48"/>
  <sheetViews>
    <sheetView topLeftCell="A2" zoomScaleNormal="100" workbookViewId="0">
      <selection activeCell="I6" sqref="I6"/>
    </sheetView>
  </sheetViews>
  <sheetFormatPr defaultRowHeight="14.35" x14ac:dyDescent="0.5"/>
  <cols>
    <col min="1" max="1" width="3.1171875" customWidth="1"/>
    <col min="2" max="2" width="2.1171875" style="1" customWidth="1"/>
    <col min="3" max="3" width="15.1171875" style="163" customWidth="1"/>
    <col min="4" max="4" width="17.5859375" style="163" customWidth="1"/>
    <col min="5" max="5" width="12.5859375" style="163" customWidth="1"/>
    <col min="6" max="7" width="2.1171875" style="163" customWidth="1"/>
    <col min="8" max="8" width="15.1171875" style="163" customWidth="1"/>
    <col min="9" max="9" width="17.5859375" style="163" customWidth="1"/>
    <col min="10" max="10" width="12.5859375" style="163" customWidth="1"/>
    <col min="11" max="12" width="2.1171875" style="163" customWidth="1"/>
    <col min="13" max="13" width="15.1171875" style="163" customWidth="1"/>
    <col min="14" max="14" width="17.5859375" style="163" customWidth="1"/>
    <col min="15" max="15" width="12.5859375" style="163" customWidth="1"/>
    <col min="16" max="16" width="2.1171875" customWidth="1"/>
  </cols>
  <sheetData>
    <row r="1" spans="1:30" ht="34.950000000000003" hidden="1" customHeight="1" x14ac:dyDescent="0.5">
      <c r="A1" s="396"/>
      <c r="B1" s="396"/>
      <c r="C1" s="396"/>
      <c r="D1" s="396"/>
      <c r="E1" s="396"/>
      <c r="F1" s="396"/>
      <c r="G1" s="396"/>
      <c r="H1" s="396"/>
      <c r="I1" s="396"/>
      <c r="J1" s="396"/>
      <c r="K1" s="396"/>
      <c r="L1" s="396"/>
      <c r="M1" s="396"/>
      <c r="N1" s="396"/>
      <c r="O1" s="396"/>
      <c r="P1" s="396"/>
      <c r="Q1" s="6"/>
      <c r="R1" s="6"/>
      <c r="S1" s="6"/>
      <c r="T1" s="6"/>
      <c r="U1" s="6"/>
      <c r="V1" s="6"/>
      <c r="W1" s="6"/>
      <c r="X1" s="6"/>
      <c r="Y1" s="6"/>
      <c r="Z1" s="6"/>
      <c r="AA1" s="6"/>
      <c r="AB1" s="6"/>
      <c r="AC1" s="6"/>
      <c r="AD1" s="6"/>
    </row>
    <row r="2" spans="1:30" s="1" customFormat="1" ht="34.950000000000003" customHeight="1" thickBot="1" x14ac:dyDescent="0.55000000000000004">
      <c r="A2" s="37"/>
      <c r="B2" s="37"/>
      <c r="C2" s="164"/>
      <c r="D2" s="164"/>
      <c r="E2" s="164"/>
      <c r="F2" s="164"/>
      <c r="G2" s="164"/>
      <c r="H2" s="164"/>
      <c r="I2" s="164"/>
      <c r="J2" s="164"/>
      <c r="K2" s="164"/>
      <c r="L2" s="164"/>
      <c r="M2" s="164"/>
      <c r="N2" s="164"/>
      <c r="O2" s="164"/>
      <c r="P2" s="37"/>
      <c r="Q2" s="37"/>
      <c r="R2" s="6"/>
      <c r="S2" s="6"/>
      <c r="T2" s="6"/>
      <c r="U2" s="6"/>
      <c r="V2" s="6"/>
      <c r="W2" s="6"/>
      <c r="X2" s="6"/>
      <c r="Y2" s="6"/>
      <c r="Z2" s="6"/>
      <c r="AA2" s="6"/>
      <c r="AB2" s="6"/>
      <c r="AC2" s="6"/>
      <c r="AD2" s="6"/>
    </row>
    <row r="3" spans="1:30" s="1" customFormat="1" ht="15" thickTop="1" thickBot="1" x14ac:dyDescent="0.55000000000000004">
      <c r="A3" s="6"/>
      <c r="B3" s="28"/>
      <c r="C3" s="165"/>
      <c r="D3" s="165"/>
      <c r="E3" s="165"/>
      <c r="F3" s="165"/>
      <c r="G3" s="165"/>
      <c r="H3" s="165"/>
      <c r="I3" s="165"/>
      <c r="J3" s="165"/>
      <c r="K3" s="165"/>
      <c r="L3" s="165"/>
      <c r="M3" s="165"/>
      <c r="N3" s="165"/>
      <c r="O3" s="165"/>
      <c r="P3" s="29"/>
      <c r="Q3" s="6"/>
      <c r="R3" s="6"/>
      <c r="S3" s="6"/>
      <c r="T3" s="6"/>
      <c r="U3" s="6"/>
      <c r="V3" s="6"/>
      <c r="W3" s="6"/>
      <c r="X3" s="6"/>
      <c r="Y3" s="6"/>
      <c r="Z3" s="6"/>
      <c r="AA3" s="6"/>
      <c r="AB3" s="6"/>
      <c r="AC3" s="6"/>
      <c r="AD3" s="6"/>
    </row>
    <row r="4" spans="1:30" ht="24" customHeight="1" thickTop="1" thickBot="1" x14ac:dyDescent="0.55000000000000004">
      <c r="A4" s="6"/>
      <c r="B4" s="32"/>
      <c r="C4" s="348" t="s">
        <v>123</v>
      </c>
      <c r="D4" s="353"/>
      <c r="E4" s="353"/>
      <c r="F4" s="353"/>
      <c r="G4" s="353"/>
      <c r="H4" s="353"/>
      <c r="I4" s="353"/>
      <c r="J4" s="353"/>
      <c r="K4" s="353"/>
      <c r="L4" s="353"/>
      <c r="M4" s="353"/>
      <c r="N4" s="353"/>
      <c r="O4" s="349"/>
      <c r="P4" s="30"/>
      <c r="Q4" s="6"/>
      <c r="R4" s="6"/>
      <c r="S4" s="6"/>
      <c r="T4" s="6"/>
      <c r="U4" s="6"/>
      <c r="V4" s="6"/>
      <c r="W4" s="6"/>
      <c r="X4" s="6"/>
      <c r="Y4" s="6"/>
      <c r="Z4" s="6"/>
      <c r="AA4" s="6"/>
      <c r="AB4" s="6"/>
      <c r="AC4" s="6"/>
      <c r="AD4" s="6"/>
    </row>
    <row r="5" spans="1:30" ht="15" thickTop="1" thickBot="1" x14ac:dyDescent="0.55000000000000004">
      <c r="A5" s="6"/>
      <c r="B5" s="32"/>
      <c r="C5" s="166"/>
      <c r="D5" s="166"/>
      <c r="E5" s="166"/>
      <c r="F5" s="166"/>
      <c r="G5" s="167"/>
      <c r="H5" s="166"/>
      <c r="I5" s="166"/>
      <c r="J5" s="166"/>
      <c r="K5" s="166"/>
      <c r="L5" s="167"/>
      <c r="M5" s="166"/>
      <c r="N5" s="166"/>
      <c r="O5" s="166"/>
      <c r="P5" s="30"/>
      <c r="Q5" s="6"/>
      <c r="R5" s="6"/>
      <c r="S5" s="6"/>
      <c r="T5" s="6"/>
      <c r="U5" s="6"/>
      <c r="V5" s="6"/>
      <c r="W5" s="6"/>
      <c r="X5" s="6"/>
      <c r="Y5" s="6"/>
      <c r="Z5" s="6"/>
      <c r="AA5" s="6"/>
      <c r="AB5" s="6"/>
      <c r="AC5" s="6"/>
      <c r="AD5" s="6"/>
    </row>
    <row r="6" spans="1:30" ht="14.7" thickTop="1" x14ac:dyDescent="0.5">
      <c r="A6" s="6"/>
      <c r="B6" s="32"/>
      <c r="C6" s="168" t="s">
        <v>73</v>
      </c>
      <c r="D6" s="169"/>
      <c r="E6" s="170" t="s">
        <v>74</v>
      </c>
      <c r="F6" s="166"/>
      <c r="G6" s="171"/>
      <c r="H6" s="168" t="s">
        <v>70</v>
      </c>
      <c r="I6" s="169"/>
      <c r="J6" s="170" t="s">
        <v>125</v>
      </c>
      <c r="K6" s="166"/>
      <c r="L6" s="171"/>
      <c r="M6" s="168" t="s">
        <v>70</v>
      </c>
      <c r="N6" s="169"/>
      <c r="O6" s="170" t="s">
        <v>127</v>
      </c>
      <c r="P6" s="30"/>
      <c r="Q6" s="6"/>
      <c r="R6" s="6"/>
      <c r="S6" s="6"/>
      <c r="T6" s="6"/>
      <c r="U6" s="6"/>
      <c r="V6" s="6"/>
      <c r="W6" s="6"/>
      <c r="X6" s="6"/>
      <c r="Y6" s="6"/>
      <c r="Z6" s="6"/>
      <c r="AA6" s="6"/>
      <c r="AB6" s="6"/>
      <c r="AC6" s="6"/>
      <c r="AD6" s="6"/>
    </row>
    <row r="7" spans="1:30" ht="14.7" thickBot="1" x14ac:dyDescent="0.55000000000000004">
      <c r="A7" s="6"/>
      <c r="B7" s="32"/>
      <c r="C7" s="127" t="s">
        <v>21</v>
      </c>
      <c r="D7" s="172">
        <f>D6*2.47105</f>
        <v>0</v>
      </c>
      <c r="E7" s="123" t="s">
        <v>14</v>
      </c>
      <c r="F7" s="166"/>
      <c r="G7" s="171"/>
      <c r="H7" s="127" t="s">
        <v>17</v>
      </c>
      <c r="I7" s="172">
        <f>I6*2.204624/'User input'!D9</f>
        <v>0</v>
      </c>
      <c r="J7" s="123" t="s">
        <v>72</v>
      </c>
      <c r="K7" s="166"/>
      <c r="L7" s="171"/>
      <c r="M7" s="127" t="s">
        <v>17</v>
      </c>
      <c r="N7" s="172">
        <f>N6*2000/'User input'!D9</f>
        <v>0</v>
      </c>
      <c r="O7" s="123" t="s">
        <v>72</v>
      </c>
      <c r="P7" s="30"/>
      <c r="Q7" s="6"/>
      <c r="R7" s="6"/>
      <c r="S7" s="6"/>
      <c r="T7" s="6"/>
      <c r="U7" s="6"/>
      <c r="V7" s="6"/>
      <c r="W7" s="6"/>
      <c r="X7" s="6"/>
      <c r="Y7" s="6"/>
      <c r="Z7" s="6"/>
      <c r="AA7" s="6"/>
      <c r="AB7" s="6"/>
      <c r="AC7" s="6"/>
      <c r="AD7" s="6"/>
    </row>
    <row r="8" spans="1:30" ht="15" thickTop="1" thickBot="1" x14ac:dyDescent="0.55000000000000004">
      <c r="A8" s="6"/>
      <c r="B8" s="32"/>
      <c r="C8" s="173"/>
      <c r="D8" s="174"/>
      <c r="E8" s="173"/>
      <c r="F8" s="166"/>
      <c r="G8" s="171"/>
      <c r="H8" s="173"/>
      <c r="I8" s="175"/>
      <c r="J8" s="173"/>
      <c r="K8" s="166"/>
      <c r="L8" s="171"/>
      <c r="M8" s="173"/>
      <c r="N8" s="175"/>
      <c r="O8" s="173"/>
      <c r="P8" s="30"/>
      <c r="Q8" s="6"/>
      <c r="R8" s="6"/>
      <c r="S8" s="6"/>
      <c r="T8" s="6"/>
      <c r="U8" s="6"/>
      <c r="V8" s="6"/>
      <c r="W8" s="6"/>
      <c r="X8" s="6"/>
      <c r="Y8" s="6"/>
      <c r="Z8" s="6"/>
      <c r="AA8" s="6"/>
      <c r="AB8" s="6"/>
      <c r="AC8" s="6"/>
      <c r="AD8" s="6"/>
    </row>
    <row r="9" spans="1:30" ht="14.7" thickTop="1" x14ac:dyDescent="0.5">
      <c r="A9" s="6"/>
      <c r="B9" s="32"/>
      <c r="C9" s="168" t="s">
        <v>70</v>
      </c>
      <c r="D9" s="169"/>
      <c r="E9" s="170" t="s">
        <v>71</v>
      </c>
      <c r="F9" s="166"/>
      <c r="G9" s="171"/>
      <c r="H9" s="168" t="s">
        <v>70</v>
      </c>
      <c r="I9" s="169"/>
      <c r="J9" s="170" t="s">
        <v>125</v>
      </c>
      <c r="K9" s="166"/>
      <c r="L9" s="171"/>
      <c r="M9" s="168" t="s">
        <v>70</v>
      </c>
      <c r="N9" s="169"/>
      <c r="O9" s="170" t="s">
        <v>127</v>
      </c>
      <c r="P9" s="30"/>
      <c r="Q9" s="6"/>
      <c r="R9" s="6"/>
      <c r="S9" s="6"/>
      <c r="T9" s="6"/>
      <c r="U9" s="6"/>
      <c r="V9" s="6"/>
      <c r="W9" s="6"/>
      <c r="X9" s="6"/>
      <c r="Y9" s="6"/>
      <c r="Z9" s="6"/>
      <c r="AA9" s="6"/>
      <c r="AB9" s="6"/>
      <c r="AC9" s="6"/>
      <c r="AD9" s="6"/>
    </row>
    <row r="10" spans="1:30" ht="14.7" thickBot="1" x14ac:dyDescent="0.55000000000000004">
      <c r="A10" s="6"/>
      <c r="B10" s="32"/>
      <c r="C10" s="127" t="s">
        <v>17</v>
      </c>
      <c r="D10" s="172">
        <f>D9/'User input'!D9</f>
        <v>0</v>
      </c>
      <c r="E10" s="123" t="s">
        <v>72</v>
      </c>
      <c r="F10" s="166"/>
      <c r="G10" s="171"/>
      <c r="H10" s="127" t="s">
        <v>70</v>
      </c>
      <c r="I10" s="172">
        <f>I9/0.453592</f>
        <v>0</v>
      </c>
      <c r="J10" s="123" t="s">
        <v>71</v>
      </c>
      <c r="K10" s="166"/>
      <c r="L10" s="171"/>
      <c r="M10" s="127" t="s">
        <v>70</v>
      </c>
      <c r="N10" s="172">
        <f>N9*2000</f>
        <v>0</v>
      </c>
      <c r="O10" s="123" t="s">
        <v>71</v>
      </c>
      <c r="P10" s="30"/>
      <c r="Q10" s="6"/>
      <c r="R10" s="6"/>
      <c r="S10" s="6"/>
      <c r="T10" s="6"/>
      <c r="U10" s="6"/>
      <c r="V10" s="6"/>
      <c r="W10" s="6"/>
      <c r="X10" s="6"/>
      <c r="Y10" s="6"/>
      <c r="Z10" s="6"/>
      <c r="AA10" s="6"/>
      <c r="AB10" s="6"/>
      <c r="AC10" s="6"/>
      <c r="AD10" s="6"/>
    </row>
    <row r="11" spans="1:30" ht="15" thickTop="1" thickBot="1" x14ac:dyDescent="0.55000000000000004">
      <c r="A11" s="6"/>
      <c r="B11" s="32"/>
      <c r="C11" s="166"/>
      <c r="D11" s="166"/>
      <c r="E11" s="166"/>
      <c r="F11" s="166"/>
      <c r="G11" s="171"/>
      <c r="H11" s="173"/>
      <c r="I11" s="175"/>
      <c r="J11" s="173"/>
      <c r="K11" s="166"/>
      <c r="L11" s="171"/>
      <c r="M11" s="173"/>
      <c r="N11" s="175"/>
      <c r="O11" s="173"/>
      <c r="P11" s="30"/>
      <c r="Q11" s="6"/>
      <c r="R11" s="6"/>
      <c r="S11" s="6"/>
      <c r="T11" s="6"/>
      <c r="U11" s="6"/>
      <c r="V11" s="6"/>
      <c r="W11" s="6"/>
      <c r="X11" s="6"/>
      <c r="Y11" s="6"/>
      <c r="Z11" s="6"/>
      <c r="AA11" s="6"/>
      <c r="AB11" s="6"/>
      <c r="AC11" s="6"/>
      <c r="AD11" s="6"/>
    </row>
    <row r="12" spans="1:30" ht="14.7" thickTop="1" x14ac:dyDescent="0.5">
      <c r="A12" s="6"/>
      <c r="B12" s="32"/>
      <c r="C12" s="166"/>
      <c r="D12" s="166"/>
      <c r="E12" s="166"/>
      <c r="F12" s="166"/>
      <c r="G12" s="171"/>
      <c r="H12" s="168" t="s">
        <v>17</v>
      </c>
      <c r="I12" s="169"/>
      <c r="J12" s="170" t="s">
        <v>130</v>
      </c>
      <c r="K12" s="166"/>
      <c r="L12" s="171"/>
      <c r="M12" s="168" t="s">
        <v>17</v>
      </c>
      <c r="N12" s="169"/>
      <c r="O12" s="170" t="s">
        <v>128</v>
      </c>
      <c r="P12" s="30"/>
      <c r="Q12" s="6"/>
      <c r="R12" s="6"/>
      <c r="S12" s="6"/>
      <c r="T12" s="6"/>
      <c r="U12" s="6"/>
      <c r="V12" s="6"/>
      <c r="W12" s="6"/>
      <c r="X12" s="6"/>
      <c r="Y12" s="6"/>
      <c r="Z12" s="6"/>
      <c r="AA12" s="6"/>
      <c r="AB12" s="6"/>
      <c r="AC12" s="6"/>
      <c r="AD12" s="6"/>
    </row>
    <row r="13" spans="1:30" ht="14.7" thickBot="1" x14ac:dyDescent="0.55000000000000004">
      <c r="A13" s="6"/>
      <c r="B13" s="32"/>
      <c r="C13" s="166"/>
      <c r="D13" s="166"/>
      <c r="E13" s="166"/>
      <c r="F13" s="166"/>
      <c r="G13" s="171"/>
      <c r="H13" s="127" t="s">
        <v>17</v>
      </c>
      <c r="I13" s="172">
        <f>I12*2.20462</f>
        <v>0</v>
      </c>
      <c r="J13" s="123" t="s">
        <v>72</v>
      </c>
      <c r="K13" s="166"/>
      <c r="L13" s="171"/>
      <c r="M13" s="127" t="s">
        <v>17</v>
      </c>
      <c r="N13" s="172">
        <f>(N12*2000)/'User input'!D9</f>
        <v>0</v>
      </c>
      <c r="O13" s="123" t="s">
        <v>72</v>
      </c>
      <c r="P13" s="30"/>
      <c r="Q13" s="6"/>
      <c r="R13" s="6"/>
      <c r="S13" s="6"/>
      <c r="T13" s="6"/>
      <c r="U13" s="6"/>
      <c r="V13" s="6"/>
      <c r="W13" s="6"/>
      <c r="X13" s="6"/>
      <c r="Y13" s="6"/>
      <c r="Z13" s="6"/>
      <c r="AA13" s="6"/>
      <c r="AB13" s="6"/>
      <c r="AC13" s="6"/>
      <c r="AD13" s="6"/>
    </row>
    <row r="14" spans="1:30" ht="15" thickTop="1" thickBot="1" x14ac:dyDescent="0.55000000000000004">
      <c r="A14" s="6"/>
      <c r="B14" s="32"/>
      <c r="C14" s="166"/>
      <c r="D14" s="166"/>
      <c r="E14" s="166"/>
      <c r="F14" s="166"/>
      <c r="G14" s="171"/>
      <c r="H14" s="173"/>
      <c r="I14" s="175"/>
      <c r="J14" s="173"/>
      <c r="K14" s="166"/>
      <c r="L14" s="171"/>
      <c r="M14" s="173"/>
      <c r="N14" s="175"/>
      <c r="O14" s="173"/>
      <c r="P14" s="30"/>
      <c r="Q14" s="6"/>
      <c r="R14" s="6"/>
      <c r="S14" s="6"/>
      <c r="T14" s="6"/>
      <c r="U14" s="6"/>
      <c r="V14" s="6"/>
      <c r="W14" s="6"/>
      <c r="X14" s="6"/>
      <c r="Y14" s="6"/>
      <c r="Z14" s="6"/>
      <c r="AA14" s="6"/>
      <c r="AB14" s="6"/>
      <c r="AC14" s="6"/>
      <c r="AD14" s="6"/>
    </row>
    <row r="15" spans="1:30" ht="14.7" thickTop="1" x14ac:dyDescent="0.5">
      <c r="A15" s="6"/>
      <c r="B15" s="32"/>
      <c r="C15" s="166"/>
      <c r="D15" s="166"/>
      <c r="E15" s="166"/>
      <c r="F15" s="166"/>
      <c r="G15" s="171"/>
      <c r="H15" s="168" t="s">
        <v>17</v>
      </c>
      <c r="I15" s="169"/>
      <c r="J15" s="170" t="s">
        <v>126</v>
      </c>
      <c r="K15" s="166"/>
      <c r="L15" s="171"/>
      <c r="M15" s="168" t="s">
        <v>17</v>
      </c>
      <c r="N15" s="169"/>
      <c r="O15" s="170" t="s">
        <v>129</v>
      </c>
      <c r="P15" s="30"/>
      <c r="Q15" s="6"/>
      <c r="R15" s="6"/>
      <c r="S15" s="6"/>
      <c r="T15" s="6"/>
      <c r="U15" s="6"/>
      <c r="V15" s="6"/>
      <c r="W15" s="6"/>
      <c r="X15" s="6"/>
      <c r="Y15" s="6"/>
      <c r="Z15" s="6"/>
      <c r="AA15" s="6"/>
      <c r="AB15" s="6"/>
      <c r="AC15" s="6"/>
      <c r="AD15" s="6"/>
    </row>
    <row r="16" spans="1:30" ht="14.7" thickBot="1" x14ac:dyDescent="0.55000000000000004">
      <c r="A16" s="6"/>
      <c r="B16" s="32"/>
      <c r="C16" s="166"/>
      <c r="D16" s="166"/>
      <c r="E16" s="166"/>
      <c r="F16" s="166"/>
      <c r="G16" s="171"/>
      <c r="H16" s="127" t="s">
        <v>17</v>
      </c>
      <c r="I16" s="172">
        <f>I15*0.892179</f>
        <v>0</v>
      </c>
      <c r="J16" s="123" t="s">
        <v>72</v>
      </c>
      <c r="K16" s="166"/>
      <c r="L16" s="171"/>
      <c r="M16" s="127" t="s">
        <v>17</v>
      </c>
      <c r="N16" s="172">
        <f>N15*809.371</f>
        <v>0</v>
      </c>
      <c r="O16" s="123" t="s">
        <v>72</v>
      </c>
      <c r="P16" s="30"/>
      <c r="Q16" s="6"/>
      <c r="R16" s="6"/>
      <c r="S16" s="6"/>
      <c r="T16" s="6"/>
      <c r="U16" s="6"/>
      <c r="V16" s="6"/>
      <c r="W16" s="6"/>
      <c r="X16" s="6"/>
      <c r="Y16" s="6"/>
      <c r="Z16" s="6"/>
      <c r="AA16" s="6"/>
      <c r="AB16" s="6"/>
      <c r="AC16" s="6"/>
      <c r="AD16" s="6"/>
    </row>
    <row r="17" spans="1:30" ht="15" thickTop="1" thickBot="1" x14ac:dyDescent="0.55000000000000004">
      <c r="A17" s="6"/>
      <c r="B17" s="33"/>
      <c r="C17" s="176"/>
      <c r="D17" s="176"/>
      <c r="E17" s="176"/>
      <c r="F17" s="176"/>
      <c r="G17" s="177"/>
      <c r="H17" s="176"/>
      <c r="I17" s="176"/>
      <c r="J17" s="176"/>
      <c r="K17" s="176"/>
      <c r="L17" s="177"/>
      <c r="M17" s="176"/>
      <c r="N17" s="176"/>
      <c r="O17" s="176"/>
      <c r="P17" s="31"/>
      <c r="Q17" s="6"/>
      <c r="R17" s="6"/>
      <c r="S17" s="6"/>
      <c r="T17" s="6"/>
      <c r="U17" s="6"/>
      <c r="V17" s="6"/>
      <c r="W17" s="6"/>
      <c r="X17" s="6"/>
      <c r="Y17" s="6"/>
      <c r="Z17" s="6"/>
      <c r="AA17" s="6"/>
      <c r="AB17" s="6"/>
      <c r="AC17" s="6"/>
      <c r="AD17" s="6"/>
    </row>
    <row r="18" spans="1:30" ht="14.7" thickTop="1" x14ac:dyDescent="0.5">
      <c r="A18" s="6"/>
      <c r="B18" s="6"/>
      <c r="C18" s="178"/>
      <c r="D18" s="178"/>
      <c r="E18" s="178"/>
      <c r="F18" s="178"/>
      <c r="G18" s="178"/>
      <c r="H18" s="178"/>
      <c r="I18" s="178"/>
      <c r="J18" s="178"/>
      <c r="K18" s="178"/>
      <c r="L18" s="178"/>
      <c r="M18" s="178"/>
      <c r="N18" s="178"/>
      <c r="O18" s="178"/>
      <c r="P18" s="6"/>
      <c r="Q18" s="6"/>
      <c r="R18" s="6"/>
      <c r="S18" s="6"/>
      <c r="T18" s="6"/>
      <c r="U18" s="6"/>
      <c r="V18" s="6"/>
      <c r="W18" s="6"/>
      <c r="X18" s="6"/>
      <c r="Y18" s="6"/>
      <c r="Z18" s="6"/>
      <c r="AA18" s="6"/>
      <c r="AB18" s="6"/>
      <c r="AC18" s="6"/>
      <c r="AD18" s="6"/>
    </row>
    <row r="19" spans="1:30" x14ac:dyDescent="0.5">
      <c r="A19" s="6"/>
      <c r="B19" s="6"/>
      <c r="C19" s="178"/>
      <c r="D19" s="178"/>
      <c r="E19" s="178"/>
      <c r="F19" s="178"/>
      <c r="G19" s="178"/>
      <c r="H19" s="178"/>
      <c r="I19" s="178"/>
      <c r="J19" s="178"/>
      <c r="K19" s="178"/>
      <c r="L19" s="178"/>
      <c r="M19" s="178"/>
      <c r="N19" s="178"/>
      <c r="O19" s="178"/>
      <c r="P19" s="6"/>
      <c r="Q19" s="6"/>
      <c r="R19" s="6"/>
      <c r="S19" s="6"/>
      <c r="T19" s="6"/>
      <c r="U19" s="6"/>
      <c r="V19" s="6"/>
      <c r="W19" s="6"/>
      <c r="X19" s="6"/>
      <c r="Y19" s="6"/>
      <c r="Z19" s="6"/>
      <c r="AA19" s="6"/>
      <c r="AB19" s="6"/>
      <c r="AC19" s="6"/>
      <c r="AD19" s="6"/>
    </row>
    <row r="20" spans="1:30" x14ac:dyDescent="0.5">
      <c r="A20" s="6"/>
      <c r="B20" s="6"/>
      <c r="C20" s="178"/>
      <c r="D20" s="178"/>
      <c r="E20" s="178"/>
      <c r="F20" s="178"/>
      <c r="G20" s="178"/>
      <c r="H20" s="178"/>
      <c r="I20" s="178"/>
      <c r="J20" s="178"/>
      <c r="K20" s="178"/>
      <c r="L20" s="178"/>
      <c r="M20" s="178"/>
      <c r="N20" s="178"/>
      <c r="O20" s="178"/>
      <c r="P20" s="6"/>
      <c r="Q20" s="6"/>
      <c r="R20" s="6"/>
      <c r="S20" s="6"/>
      <c r="T20" s="6"/>
      <c r="U20" s="6"/>
      <c r="V20" s="6"/>
      <c r="W20" s="6"/>
      <c r="X20" s="6"/>
      <c r="Y20" s="6"/>
      <c r="Z20" s="6"/>
      <c r="AA20" s="6"/>
      <c r="AB20" s="6"/>
      <c r="AC20" s="6"/>
      <c r="AD20" s="6"/>
    </row>
    <row r="21" spans="1:30" x14ac:dyDescent="0.5">
      <c r="A21" s="6"/>
      <c r="B21" s="6"/>
      <c r="C21" s="178"/>
      <c r="D21" s="178"/>
      <c r="E21" s="178"/>
      <c r="F21" s="178"/>
      <c r="G21" s="178"/>
      <c r="H21" s="178"/>
      <c r="I21" s="178"/>
      <c r="J21" s="178"/>
      <c r="K21" s="178"/>
      <c r="L21" s="178"/>
      <c r="M21" s="178"/>
      <c r="N21" s="178"/>
      <c r="O21" s="178"/>
      <c r="P21" s="6"/>
      <c r="Q21" s="6"/>
      <c r="R21" s="6"/>
      <c r="S21" s="6"/>
      <c r="T21" s="6"/>
      <c r="U21" s="6"/>
      <c r="V21" s="6"/>
      <c r="W21" s="6"/>
      <c r="X21" s="6"/>
      <c r="Y21" s="6"/>
      <c r="Z21" s="6"/>
      <c r="AA21" s="6"/>
      <c r="AB21" s="6"/>
      <c r="AC21" s="6"/>
      <c r="AD21" s="6"/>
    </row>
    <row r="22" spans="1:30" x14ac:dyDescent="0.5">
      <c r="A22" s="6"/>
      <c r="B22" s="6"/>
      <c r="C22" s="178"/>
      <c r="D22" s="178"/>
      <c r="E22" s="178"/>
      <c r="F22" s="178"/>
      <c r="G22" s="178"/>
      <c r="H22" s="178"/>
      <c r="I22" s="178"/>
      <c r="J22" s="178"/>
      <c r="K22" s="178"/>
      <c r="L22" s="178"/>
      <c r="M22" s="178"/>
      <c r="N22" s="178"/>
      <c r="O22" s="178"/>
      <c r="P22" s="6"/>
      <c r="Q22" s="6"/>
      <c r="R22" s="6"/>
      <c r="S22" s="6"/>
      <c r="T22" s="6"/>
      <c r="U22" s="6"/>
      <c r="V22" s="6"/>
      <c r="W22" s="6"/>
      <c r="X22" s="6"/>
      <c r="Y22" s="6"/>
      <c r="Z22" s="6"/>
      <c r="AA22" s="6"/>
      <c r="AB22" s="6"/>
      <c r="AC22" s="6"/>
      <c r="AD22" s="6"/>
    </row>
    <row r="23" spans="1:30" x14ac:dyDescent="0.5">
      <c r="A23" s="6"/>
      <c r="B23" s="6"/>
      <c r="C23" s="178"/>
      <c r="D23" s="178"/>
      <c r="E23" s="178"/>
      <c r="F23" s="178"/>
      <c r="G23" s="178"/>
      <c r="H23" s="178"/>
      <c r="I23" s="178"/>
      <c r="J23" s="178"/>
      <c r="K23" s="178"/>
      <c r="L23" s="178"/>
      <c r="M23" s="178"/>
      <c r="N23" s="178"/>
      <c r="O23" s="178"/>
      <c r="P23" s="6"/>
      <c r="Q23" s="6"/>
      <c r="R23" s="6"/>
      <c r="S23" s="6"/>
      <c r="T23" s="6"/>
      <c r="U23" s="6"/>
      <c r="V23" s="6"/>
      <c r="W23" s="6"/>
      <c r="X23" s="6"/>
      <c r="Y23" s="6"/>
      <c r="Z23" s="6"/>
      <c r="AA23" s="6"/>
      <c r="AB23" s="6"/>
      <c r="AC23" s="6"/>
      <c r="AD23" s="6"/>
    </row>
    <row r="24" spans="1:30" x14ac:dyDescent="0.5">
      <c r="A24" s="6"/>
      <c r="B24" s="6"/>
      <c r="C24" s="178"/>
      <c r="D24" s="178"/>
      <c r="E24" s="178"/>
      <c r="F24" s="178"/>
      <c r="G24" s="178"/>
      <c r="H24" s="178"/>
      <c r="I24" s="178"/>
      <c r="J24" s="178"/>
      <c r="K24" s="178"/>
      <c r="L24" s="178"/>
      <c r="M24" s="178"/>
      <c r="N24" s="178"/>
      <c r="O24" s="178"/>
      <c r="P24" s="6"/>
      <c r="Q24" s="6"/>
      <c r="R24" s="6"/>
      <c r="S24" s="6"/>
      <c r="T24" s="6"/>
      <c r="U24" s="6"/>
      <c r="V24" s="6"/>
      <c r="W24" s="6"/>
      <c r="X24" s="6"/>
      <c r="Y24" s="6"/>
      <c r="Z24" s="6"/>
      <c r="AA24" s="6"/>
      <c r="AB24" s="6"/>
      <c r="AC24" s="6"/>
      <c r="AD24" s="6"/>
    </row>
    <row r="25" spans="1:30" x14ac:dyDescent="0.5">
      <c r="A25" s="6"/>
      <c r="B25" s="6"/>
      <c r="C25" s="178"/>
      <c r="D25" s="178"/>
      <c r="E25" s="178"/>
      <c r="F25" s="178"/>
      <c r="G25" s="178"/>
      <c r="H25" s="178"/>
      <c r="I25" s="178"/>
      <c r="J25" s="178"/>
      <c r="K25" s="178"/>
      <c r="L25" s="178"/>
      <c r="M25" s="178"/>
      <c r="N25" s="178"/>
      <c r="O25" s="178"/>
      <c r="P25" s="6"/>
      <c r="Q25" s="6"/>
      <c r="R25" s="6"/>
      <c r="S25" s="6"/>
      <c r="T25" s="6"/>
      <c r="U25" s="6"/>
      <c r="V25" s="6"/>
      <c r="W25" s="6"/>
      <c r="X25" s="6"/>
      <c r="Y25" s="6"/>
      <c r="Z25" s="6"/>
      <c r="AA25" s="6"/>
      <c r="AB25" s="6"/>
      <c r="AC25" s="6"/>
      <c r="AD25" s="6"/>
    </row>
    <row r="26" spans="1:30" x14ac:dyDescent="0.5">
      <c r="A26" s="6"/>
      <c r="B26" s="6"/>
      <c r="C26" s="178"/>
      <c r="D26" s="178"/>
      <c r="E26" s="178"/>
      <c r="F26" s="178"/>
      <c r="G26" s="178"/>
      <c r="H26" s="178"/>
      <c r="I26" s="178"/>
      <c r="J26" s="178"/>
      <c r="K26" s="178"/>
      <c r="L26" s="178"/>
      <c r="M26" s="178"/>
      <c r="N26" s="178"/>
      <c r="O26" s="178"/>
      <c r="P26" s="6"/>
      <c r="Q26" s="6"/>
      <c r="R26" s="6"/>
      <c r="S26" s="6"/>
      <c r="T26" s="6"/>
      <c r="U26" s="6"/>
      <c r="V26" s="6"/>
      <c r="W26" s="6"/>
      <c r="X26" s="6"/>
      <c r="Y26" s="6"/>
      <c r="Z26" s="6"/>
      <c r="AA26" s="6"/>
      <c r="AB26" s="6"/>
      <c r="AC26" s="6"/>
      <c r="AD26" s="6"/>
    </row>
    <row r="27" spans="1:30" x14ac:dyDescent="0.5">
      <c r="A27" s="6"/>
      <c r="B27" s="6"/>
      <c r="C27" s="178"/>
      <c r="D27" s="178"/>
      <c r="E27" s="178"/>
      <c r="F27" s="178"/>
      <c r="G27" s="178"/>
      <c r="H27" s="178"/>
      <c r="I27" s="178"/>
      <c r="J27" s="178"/>
      <c r="K27" s="178"/>
      <c r="L27" s="178"/>
      <c r="M27" s="178"/>
      <c r="N27" s="178"/>
      <c r="O27" s="178"/>
      <c r="P27" s="6"/>
      <c r="Q27" s="6"/>
      <c r="R27" s="6"/>
      <c r="S27" s="6"/>
      <c r="T27" s="6"/>
      <c r="U27" s="6"/>
      <c r="V27" s="6"/>
      <c r="W27" s="6"/>
      <c r="X27" s="6"/>
      <c r="Y27" s="6"/>
      <c r="Z27" s="6"/>
      <c r="AA27" s="6"/>
      <c r="AB27" s="6"/>
      <c r="AC27" s="6"/>
      <c r="AD27" s="6"/>
    </row>
    <row r="28" spans="1:30" x14ac:dyDescent="0.5">
      <c r="A28" s="6"/>
      <c r="B28" s="6"/>
      <c r="C28" s="178"/>
      <c r="D28" s="178"/>
      <c r="E28" s="178"/>
      <c r="F28" s="178"/>
      <c r="G28" s="178"/>
      <c r="H28" s="178"/>
      <c r="I28" s="178"/>
      <c r="J28" s="178"/>
      <c r="K28" s="178"/>
      <c r="L28" s="178"/>
      <c r="M28" s="178"/>
      <c r="N28" s="178"/>
      <c r="O28" s="178"/>
      <c r="P28" s="6"/>
      <c r="Q28" s="6"/>
      <c r="R28" s="6"/>
      <c r="S28" s="6"/>
      <c r="T28" s="6"/>
      <c r="U28" s="6"/>
      <c r="V28" s="6"/>
      <c r="W28" s="6"/>
      <c r="X28" s="6"/>
      <c r="Y28" s="6"/>
      <c r="Z28" s="6"/>
      <c r="AA28" s="6"/>
      <c r="AB28" s="6"/>
      <c r="AC28" s="6"/>
      <c r="AD28" s="6"/>
    </row>
    <row r="29" spans="1:30" x14ac:dyDescent="0.5">
      <c r="A29" s="6"/>
      <c r="B29" s="6"/>
      <c r="C29" s="178"/>
      <c r="D29" s="178"/>
      <c r="E29" s="178"/>
      <c r="F29" s="178"/>
      <c r="G29" s="178"/>
      <c r="H29" s="178"/>
      <c r="I29" s="178"/>
      <c r="J29" s="178"/>
      <c r="K29" s="178"/>
      <c r="L29" s="178"/>
      <c r="M29" s="178"/>
      <c r="N29" s="178"/>
      <c r="O29" s="178"/>
      <c r="P29" s="6"/>
      <c r="Q29" s="6"/>
      <c r="R29" s="6"/>
      <c r="S29" s="6"/>
      <c r="T29" s="6"/>
      <c r="U29" s="6"/>
      <c r="V29" s="6"/>
      <c r="W29" s="6"/>
      <c r="X29" s="6"/>
      <c r="Y29" s="6"/>
      <c r="Z29" s="6"/>
      <c r="AA29" s="6"/>
      <c r="AB29" s="6"/>
      <c r="AC29" s="6"/>
      <c r="AD29" s="6"/>
    </row>
    <row r="30" spans="1:30" x14ac:dyDescent="0.5">
      <c r="A30" s="6"/>
      <c r="B30" s="6"/>
      <c r="C30" s="178"/>
      <c r="D30" s="178"/>
      <c r="E30" s="178"/>
      <c r="F30" s="178"/>
      <c r="G30" s="178"/>
      <c r="H30" s="178"/>
      <c r="I30" s="178"/>
      <c r="J30" s="178"/>
      <c r="K30" s="178"/>
      <c r="L30" s="178"/>
      <c r="M30" s="178"/>
      <c r="N30" s="178"/>
      <c r="O30" s="178"/>
      <c r="P30" s="6"/>
      <c r="Q30" s="6"/>
      <c r="R30" s="6"/>
      <c r="S30" s="6"/>
      <c r="T30" s="6"/>
      <c r="U30" s="6"/>
      <c r="V30" s="6"/>
      <c r="W30" s="6"/>
      <c r="X30" s="6"/>
      <c r="Y30" s="6"/>
      <c r="Z30" s="6"/>
      <c r="AA30" s="6"/>
      <c r="AB30" s="6"/>
      <c r="AC30" s="6"/>
      <c r="AD30" s="6"/>
    </row>
    <row r="31" spans="1:30" x14ac:dyDescent="0.5">
      <c r="A31" s="6"/>
      <c r="B31" s="6"/>
      <c r="C31" s="178"/>
      <c r="D31" s="178"/>
      <c r="E31" s="178"/>
      <c r="F31" s="178"/>
      <c r="G31" s="178"/>
      <c r="H31" s="178"/>
      <c r="I31" s="178"/>
      <c r="J31" s="178"/>
      <c r="K31" s="178"/>
      <c r="L31" s="178"/>
      <c r="M31" s="178"/>
      <c r="N31" s="178"/>
      <c r="O31" s="178"/>
      <c r="P31" s="6"/>
      <c r="Q31" s="6"/>
      <c r="R31" s="6"/>
      <c r="S31" s="6"/>
      <c r="T31" s="6"/>
      <c r="U31" s="6"/>
      <c r="V31" s="6"/>
      <c r="W31" s="6"/>
      <c r="X31" s="6"/>
      <c r="Y31" s="6"/>
      <c r="Z31" s="6"/>
      <c r="AA31" s="6"/>
      <c r="AB31" s="6"/>
      <c r="AC31" s="6"/>
      <c r="AD31" s="6"/>
    </row>
    <row r="32" spans="1:30" x14ac:dyDescent="0.5">
      <c r="A32" s="6"/>
      <c r="B32" s="6"/>
      <c r="C32" s="178"/>
      <c r="D32" s="178"/>
      <c r="E32" s="178"/>
      <c r="F32" s="178"/>
      <c r="G32" s="178"/>
      <c r="H32" s="178"/>
      <c r="I32" s="178"/>
      <c r="J32" s="178"/>
      <c r="K32" s="178"/>
      <c r="L32" s="178"/>
      <c r="M32" s="178"/>
      <c r="N32" s="178"/>
      <c r="O32" s="178"/>
      <c r="P32" s="6"/>
      <c r="Q32" s="6"/>
      <c r="R32" s="6"/>
      <c r="S32" s="6"/>
      <c r="T32" s="6"/>
      <c r="U32" s="6"/>
      <c r="V32" s="6"/>
      <c r="W32" s="6"/>
      <c r="X32" s="6"/>
      <c r="Y32" s="6"/>
      <c r="Z32" s="6"/>
      <c r="AA32" s="6"/>
      <c r="AB32" s="6"/>
      <c r="AC32" s="6"/>
      <c r="AD32" s="6"/>
    </row>
    <row r="33" spans="1:30" x14ac:dyDescent="0.5">
      <c r="A33" s="6"/>
      <c r="B33" s="6"/>
      <c r="C33" s="178"/>
      <c r="D33" s="178"/>
      <c r="E33" s="178"/>
      <c r="F33" s="178"/>
      <c r="G33" s="178"/>
      <c r="H33" s="178"/>
      <c r="I33" s="178"/>
      <c r="J33" s="178"/>
      <c r="K33" s="178"/>
      <c r="L33" s="178"/>
      <c r="M33" s="178"/>
      <c r="N33" s="178"/>
      <c r="O33" s="178"/>
      <c r="P33" s="6"/>
      <c r="Q33" s="6"/>
      <c r="R33" s="6"/>
      <c r="S33" s="6"/>
      <c r="T33" s="6"/>
      <c r="U33" s="6"/>
      <c r="V33" s="6"/>
      <c r="W33" s="6"/>
      <c r="X33" s="6"/>
      <c r="Y33" s="6"/>
      <c r="Z33" s="6"/>
      <c r="AA33" s="6"/>
      <c r="AB33" s="6"/>
      <c r="AC33" s="6"/>
      <c r="AD33" s="6"/>
    </row>
    <row r="34" spans="1:30" x14ac:dyDescent="0.5">
      <c r="A34" s="6"/>
      <c r="B34" s="6"/>
      <c r="C34" s="178"/>
      <c r="D34" s="178"/>
      <c r="E34" s="178"/>
      <c r="F34" s="178"/>
      <c r="G34" s="178"/>
      <c r="H34" s="178"/>
      <c r="I34" s="178"/>
      <c r="J34" s="178"/>
      <c r="K34" s="178"/>
      <c r="L34" s="178"/>
      <c r="M34" s="178"/>
      <c r="N34" s="178"/>
      <c r="O34" s="178"/>
      <c r="P34" s="6"/>
      <c r="Q34" s="6"/>
      <c r="R34" s="6"/>
      <c r="S34" s="6"/>
      <c r="T34" s="6"/>
      <c r="U34" s="6"/>
      <c r="V34" s="6"/>
      <c r="W34" s="6"/>
      <c r="X34" s="6"/>
      <c r="Y34" s="6"/>
      <c r="Z34" s="6"/>
      <c r="AA34" s="6"/>
      <c r="AB34" s="6"/>
      <c r="AC34" s="6"/>
      <c r="AD34" s="6"/>
    </row>
    <row r="35" spans="1:30" x14ac:dyDescent="0.5">
      <c r="A35" s="6"/>
      <c r="B35" s="6"/>
      <c r="C35" s="178"/>
      <c r="D35" s="178"/>
      <c r="E35" s="178"/>
      <c r="F35" s="178"/>
      <c r="G35" s="178"/>
      <c r="H35" s="178"/>
      <c r="I35" s="178"/>
      <c r="J35" s="178"/>
      <c r="K35" s="178"/>
      <c r="L35" s="178"/>
      <c r="M35" s="178"/>
      <c r="N35" s="178"/>
      <c r="O35" s="178"/>
      <c r="P35" s="6"/>
      <c r="Q35" s="6"/>
      <c r="R35" s="6"/>
      <c r="S35" s="6"/>
      <c r="T35" s="6"/>
      <c r="U35" s="6"/>
      <c r="V35" s="6"/>
      <c r="W35" s="6"/>
      <c r="X35" s="6"/>
      <c r="Y35" s="6"/>
      <c r="Z35" s="6"/>
      <c r="AA35" s="6"/>
      <c r="AB35" s="6"/>
      <c r="AC35" s="6"/>
      <c r="AD35" s="6"/>
    </row>
    <row r="36" spans="1:30" x14ac:dyDescent="0.5">
      <c r="A36" s="6"/>
      <c r="B36" s="6"/>
      <c r="C36" s="178"/>
      <c r="D36" s="178"/>
      <c r="E36" s="178"/>
      <c r="F36" s="178"/>
      <c r="G36" s="178"/>
      <c r="H36" s="178"/>
      <c r="I36" s="178"/>
      <c r="J36" s="178"/>
      <c r="K36" s="178"/>
      <c r="L36" s="178"/>
      <c r="M36" s="178"/>
      <c r="N36" s="178"/>
      <c r="O36" s="178"/>
      <c r="P36" s="6"/>
      <c r="Q36" s="6"/>
      <c r="R36" s="6"/>
      <c r="S36" s="6"/>
      <c r="T36" s="6"/>
      <c r="U36" s="6"/>
      <c r="V36" s="6"/>
      <c r="W36" s="6"/>
      <c r="X36" s="6"/>
      <c r="Y36" s="6"/>
      <c r="Z36" s="6"/>
      <c r="AA36" s="6"/>
      <c r="AB36" s="6"/>
      <c r="AC36" s="6"/>
      <c r="AD36" s="6"/>
    </row>
    <row r="37" spans="1:30" x14ac:dyDescent="0.5">
      <c r="A37" s="6"/>
      <c r="B37" s="6"/>
      <c r="C37" s="178"/>
      <c r="D37" s="178"/>
      <c r="E37" s="178"/>
      <c r="F37" s="178"/>
      <c r="G37" s="178"/>
      <c r="H37" s="178"/>
      <c r="I37" s="178"/>
      <c r="J37" s="178"/>
      <c r="K37" s="178"/>
      <c r="L37" s="178"/>
      <c r="M37" s="178"/>
      <c r="N37" s="178"/>
      <c r="O37" s="178"/>
      <c r="P37" s="6"/>
      <c r="Q37" s="6"/>
      <c r="R37" s="6"/>
      <c r="S37" s="6"/>
      <c r="T37" s="6"/>
      <c r="U37" s="6"/>
      <c r="V37" s="6"/>
      <c r="W37" s="6"/>
      <c r="X37" s="6"/>
      <c r="Y37" s="6"/>
      <c r="Z37" s="6"/>
      <c r="AA37" s="6"/>
      <c r="AB37" s="6"/>
      <c r="AC37" s="6"/>
      <c r="AD37" s="6"/>
    </row>
    <row r="38" spans="1:30" x14ac:dyDescent="0.5">
      <c r="A38" s="6"/>
      <c r="B38" s="6"/>
      <c r="C38" s="178"/>
      <c r="D38" s="178"/>
      <c r="E38" s="178"/>
      <c r="F38" s="178"/>
      <c r="G38" s="178"/>
      <c r="H38" s="178"/>
      <c r="I38" s="178"/>
      <c r="J38" s="178"/>
      <c r="K38" s="178"/>
      <c r="L38" s="178"/>
      <c r="M38" s="178"/>
      <c r="N38" s="178"/>
      <c r="O38" s="178"/>
      <c r="P38" s="6"/>
      <c r="Q38" s="6"/>
      <c r="R38" s="6"/>
      <c r="S38" s="6"/>
      <c r="T38" s="6"/>
      <c r="U38" s="6"/>
      <c r="V38" s="6"/>
      <c r="W38" s="6"/>
      <c r="X38" s="6"/>
      <c r="Y38" s="6"/>
      <c r="Z38" s="6"/>
      <c r="AA38" s="6"/>
      <c r="AB38" s="6"/>
      <c r="AC38" s="6"/>
      <c r="AD38" s="6"/>
    </row>
    <row r="39" spans="1:30" x14ac:dyDescent="0.5">
      <c r="A39" s="6"/>
      <c r="B39" s="6"/>
      <c r="C39" s="178"/>
      <c r="D39" s="178"/>
      <c r="E39" s="178"/>
      <c r="F39" s="178"/>
      <c r="G39" s="178"/>
      <c r="H39" s="178"/>
      <c r="I39" s="178"/>
      <c r="J39" s="178"/>
      <c r="K39" s="178"/>
      <c r="L39" s="178"/>
      <c r="M39" s="178"/>
      <c r="N39" s="178"/>
      <c r="O39" s="178"/>
      <c r="P39" s="6"/>
      <c r="Q39" s="6"/>
      <c r="R39" s="6"/>
      <c r="S39" s="6"/>
      <c r="T39" s="6"/>
      <c r="U39" s="6"/>
      <c r="V39" s="6"/>
      <c r="W39" s="6"/>
      <c r="X39" s="6"/>
      <c r="Y39" s="6"/>
      <c r="Z39" s="6"/>
      <c r="AA39" s="6"/>
      <c r="AB39" s="6"/>
      <c r="AC39" s="6"/>
      <c r="AD39" s="6"/>
    </row>
    <row r="40" spans="1:30" x14ac:dyDescent="0.5">
      <c r="A40" s="6"/>
      <c r="B40" s="6"/>
      <c r="C40" s="178"/>
      <c r="D40" s="178"/>
      <c r="E40" s="178"/>
      <c r="F40" s="178"/>
      <c r="G40" s="178"/>
      <c r="H40" s="178"/>
      <c r="I40" s="178"/>
      <c r="J40" s="178"/>
      <c r="K40" s="178"/>
      <c r="L40" s="178"/>
      <c r="M40" s="178"/>
      <c r="N40" s="178"/>
      <c r="O40" s="178"/>
      <c r="P40" s="6"/>
      <c r="Q40" s="6"/>
      <c r="R40" s="6"/>
      <c r="S40" s="6"/>
      <c r="T40" s="6"/>
      <c r="U40" s="6"/>
      <c r="V40" s="6"/>
      <c r="W40" s="6"/>
      <c r="X40" s="6"/>
      <c r="Y40" s="6"/>
      <c r="Z40" s="6"/>
      <c r="AA40" s="6"/>
      <c r="AB40" s="6"/>
      <c r="AC40" s="6"/>
      <c r="AD40" s="6"/>
    </row>
    <row r="41" spans="1:30" x14ac:dyDescent="0.5">
      <c r="A41" s="6"/>
      <c r="B41" s="6"/>
      <c r="C41" s="178"/>
      <c r="D41" s="178"/>
      <c r="E41" s="178"/>
      <c r="F41" s="178"/>
      <c r="G41" s="178"/>
      <c r="H41" s="178"/>
      <c r="I41" s="178"/>
      <c r="J41" s="178"/>
      <c r="K41" s="178"/>
      <c r="L41" s="178"/>
      <c r="M41" s="178"/>
      <c r="N41" s="178"/>
      <c r="O41" s="178"/>
      <c r="P41" s="6"/>
      <c r="Q41" s="6"/>
      <c r="R41" s="6"/>
      <c r="S41" s="6"/>
      <c r="T41" s="6"/>
      <c r="U41" s="6"/>
      <c r="V41" s="6"/>
      <c r="W41" s="6"/>
      <c r="X41" s="6"/>
      <c r="Y41" s="6"/>
      <c r="Z41" s="6"/>
      <c r="AA41" s="6"/>
      <c r="AB41" s="6"/>
      <c r="AC41" s="6"/>
      <c r="AD41" s="6"/>
    </row>
    <row r="42" spans="1:30" x14ac:dyDescent="0.5">
      <c r="A42" s="6"/>
      <c r="B42" s="6"/>
      <c r="C42" s="178"/>
      <c r="D42" s="178"/>
      <c r="E42" s="178"/>
      <c r="F42" s="178"/>
      <c r="G42" s="178"/>
      <c r="H42" s="178"/>
      <c r="I42" s="178"/>
      <c r="J42" s="178"/>
      <c r="K42" s="178"/>
      <c r="L42" s="178"/>
      <c r="M42" s="178"/>
      <c r="N42" s="178"/>
      <c r="O42" s="178"/>
      <c r="P42" s="6"/>
      <c r="Q42" s="6"/>
      <c r="R42" s="6"/>
      <c r="S42" s="6"/>
      <c r="T42" s="6"/>
      <c r="U42" s="6"/>
      <c r="V42" s="6"/>
      <c r="W42" s="6"/>
      <c r="X42" s="6"/>
      <c r="Y42" s="6"/>
      <c r="Z42" s="6"/>
      <c r="AA42" s="6"/>
      <c r="AB42" s="6"/>
      <c r="AC42" s="6"/>
      <c r="AD42" s="6"/>
    </row>
    <row r="43" spans="1:30" x14ac:dyDescent="0.5">
      <c r="A43" s="6"/>
      <c r="B43" s="6"/>
      <c r="C43" s="178"/>
      <c r="D43" s="178"/>
      <c r="E43" s="178"/>
      <c r="F43" s="178"/>
      <c r="G43" s="178"/>
      <c r="H43" s="178"/>
      <c r="I43" s="178"/>
      <c r="J43" s="178"/>
      <c r="K43" s="178"/>
      <c r="L43" s="178"/>
      <c r="M43" s="178"/>
      <c r="N43" s="178"/>
      <c r="O43" s="178"/>
      <c r="P43" s="6"/>
      <c r="Q43" s="6"/>
      <c r="R43" s="6"/>
      <c r="S43" s="6"/>
      <c r="T43" s="6"/>
      <c r="U43" s="6"/>
      <c r="V43" s="6"/>
      <c r="W43" s="6"/>
      <c r="X43" s="6"/>
      <c r="Y43" s="6"/>
      <c r="Z43" s="6"/>
      <c r="AA43" s="6"/>
      <c r="AB43" s="6"/>
      <c r="AC43" s="6"/>
      <c r="AD43" s="6"/>
    </row>
    <row r="44" spans="1:30" x14ac:dyDescent="0.5">
      <c r="A44" s="6"/>
      <c r="B44" s="6"/>
      <c r="C44" s="178"/>
      <c r="D44" s="178"/>
      <c r="E44" s="178"/>
      <c r="F44" s="178"/>
      <c r="G44" s="178"/>
      <c r="H44" s="178"/>
      <c r="I44" s="178"/>
      <c r="J44" s="178"/>
      <c r="K44" s="178"/>
      <c r="L44" s="178"/>
      <c r="M44" s="178"/>
      <c r="N44" s="178"/>
      <c r="O44" s="178"/>
      <c r="P44" s="6"/>
      <c r="Q44" s="6"/>
      <c r="R44" s="6"/>
      <c r="S44" s="6"/>
      <c r="T44" s="6"/>
      <c r="U44" s="6"/>
      <c r="V44" s="6"/>
      <c r="W44" s="6"/>
      <c r="X44" s="6"/>
      <c r="Y44" s="6"/>
      <c r="Z44" s="6"/>
      <c r="AA44" s="6"/>
      <c r="AB44" s="6"/>
      <c r="AC44" s="6"/>
      <c r="AD44" s="6"/>
    </row>
    <row r="45" spans="1:30" x14ac:dyDescent="0.5">
      <c r="A45" s="6"/>
      <c r="B45" s="6"/>
      <c r="C45" s="178"/>
      <c r="D45" s="178"/>
      <c r="E45" s="178"/>
      <c r="F45" s="178"/>
      <c r="G45" s="178"/>
      <c r="H45" s="178"/>
      <c r="I45" s="178"/>
      <c r="J45" s="178"/>
      <c r="K45" s="178"/>
      <c r="L45" s="178"/>
      <c r="M45" s="178"/>
      <c r="N45" s="178"/>
      <c r="O45" s="178"/>
      <c r="P45" s="6"/>
      <c r="Q45" s="6"/>
      <c r="R45" s="6"/>
      <c r="S45" s="6"/>
      <c r="T45" s="6"/>
      <c r="U45" s="6"/>
      <c r="V45" s="6"/>
      <c r="W45" s="6"/>
      <c r="X45" s="6"/>
      <c r="Y45" s="6"/>
      <c r="Z45" s="6"/>
      <c r="AA45" s="6"/>
      <c r="AB45" s="6"/>
      <c r="AC45" s="6"/>
      <c r="AD45" s="6"/>
    </row>
    <row r="46" spans="1:30" x14ac:dyDescent="0.5">
      <c r="A46" s="6"/>
      <c r="B46" s="6"/>
      <c r="C46" s="178"/>
      <c r="D46" s="178"/>
      <c r="E46" s="178"/>
      <c r="F46" s="178"/>
      <c r="G46" s="178"/>
      <c r="H46" s="178"/>
      <c r="I46" s="178"/>
      <c r="J46" s="178"/>
      <c r="K46" s="178"/>
      <c r="L46" s="178"/>
      <c r="M46" s="178"/>
      <c r="N46" s="178"/>
      <c r="O46" s="178"/>
      <c r="P46" s="6"/>
      <c r="Q46" s="6"/>
      <c r="R46" s="6"/>
      <c r="S46" s="6"/>
      <c r="T46" s="6"/>
      <c r="U46" s="6"/>
      <c r="V46" s="6"/>
      <c r="W46" s="6"/>
      <c r="X46" s="6"/>
      <c r="Y46" s="6"/>
      <c r="Z46" s="6"/>
      <c r="AA46" s="6"/>
      <c r="AB46" s="6"/>
      <c r="AC46" s="6"/>
      <c r="AD46" s="6"/>
    </row>
    <row r="47" spans="1:30" x14ac:dyDescent="0.5">
      <c r="A47" s="6"/>
      <c r="B47" s="6"/>
      <c r="C47" s="178"/>
      <c r="D47" s="178"/>
      <c r="E47" s="178"/>
      <c r="F47" s="178"/>
      <c r="G47" s="178"/>
      <c r="H47" s="178"/>
      <c r="I47" s="178"/>
      <c r="J47" s="178"/>
      <c r="K47" s="178"/>
      <c r="L47" s="178"/>
      <c r="M47" s="178"/>
      <c r="N47" s="178"/>
      <c r="O47" s="178"/>
      <c r="P47" s="6"/>
      <c r="Q47" s="6"/>
      <c r="R47" s="6"/>
      <c r="S47" s="6"/>
      <c r="T47" s="6"/>
      <c r="U47" s="6"/>
      <c r="V47" s="6"/>
      <c r="W47" s="6"/>
      <c r="X47" s="6"/>
      <c r="Y47" s="6"/>
      <c r="Z47" s="6"/>
      <c r="AA47" s="6"/>
      <c r="AB47" s="6"/>
      <c r="AC47" s="6"/>
      <c r="AD47" s="6"/>
    </row>
    <row r="48" spans="1:30" x14ac:dyDescent="0.5">
      <c r="A48" s="6"/>
      <c r="B48" s="6"/>
      <c r="C48" s="178"/>
      <c r="D48" s="178"/>
      <c r="E48" s="178"/>
      <c r="F48" s="178"/>
      <c r="G48" s="178"/>
      <c r="H48" s="178"/>
      <c r="I48" s="178"/>
      <c r="J48" s="178"/>
      <c r="K48" s="178"/>
      <c r="L48" s="178"/>
      <c r="M48" s="178"/>
      <c r="N48" s="178"/>
      <c r="O48" s="178"/>
      <c r="P48" s="6"/>
      <c r="Q48" s="6"/>
      <c r="R48" s="6"/>
      <c r="S48" s="6"/>
      <c r="T48" s="6"/>
      <c r="U48" s="6"/>
      <c r="V48" s="6"/>
      <c r="W48" s="6"/>
      <c r="X48" s="6"/>
      <c r="Y48" s="6"/>
      <c r="Z48" s="6"/>
      <c r="AA48" s="6"/>
      <c r="AB48" s="6"/>
      <c r="AC48" s="6"/>
      <c r="AD48" s="6"/>
    </row>
  </sheetData>
  <sheetProtection algorithmName="SHA-512" hashValue="ivkeCBjj7PWkhOS1nPIcsXaUuiBocT3oz3CJaoSXqdam07FkKzfJaniJBx+2K/8UA9X81fVvuM9Vgdw3M4zYjA==" saltValue="Sd9hmG2cvBzbbu8OGYGDGQ==" spinCount="100000" sheet="1" objects="1" scenarios="1" selectLockedCells="1"/>
  <mergeCells count="2">
    <mergeCell ref="C4:O4"/>
    <mergeCell ref="A1:P1"/>
  </mergeCells>
  <pageMargins left="0.7" right="0.7" top="0.75" bottom="0.75" header="0.3" footer="0.3"/>
  <pageSetup paperSize="9" scale="88"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J90"/>
  <sheetViews>
    <sheetView topLeftCell="A2" zoomScale="70" zoomScaleNormal="70" workbookViewId="0">
      <selection sqref="A1:T1"/>
    </sheetView>
  </sheetViews>
  <sheetFormatPr defaultRowHeight="14.35" x14ac:dyDescent="0.5"/>
  <cols>
    <col min="1" max="1" width="2.46875" customWidth="1"/>
    <col min="9" max="12" width="9.05859375" style="23"/>
    <col min="20" max="20" width="1.703125" customWidth="1"/>
  </cols>
  <sheetData>
    <row r="1" spans="1:36" ht="34.200000000000003" hidden="1" customHeight="1" x14ac:dyDescent="0.5">
      <c r="A1" s="398"/>
      <c r="B1" s="398"/>
      <c r="C1" s="398"/>
      <c r="D1" s="398"/>
      <c r="E1" s="398"/>
      <c r="F1" s="398"/>
      <c r="G1" s="398"/>
      <c r="H1" s="398"/>
      <c r="I1" s="398"/>
      <c r="J1" s="398"/>
      <c r="K1" s="398"/>
      <c r="L1" s="398"/>
      <c r="M1" s="398"/>
      <c r="N1" s="398"/>
      <c r="O1" s="398"/>
      <c r="P1" s="398"/>
      <c r="Q1" s="398"/>
      <c r="R1" s="398"/>
      <c r="S1" s="398"/>
      <c r="T1" s="398"/>
      <c r="U1" s="11"/>
      <c r="V1" s="11"/>
      <c r="W1" s="11"/>
      <c r="X1" s="11"/>
      <c r="Y1" s="11"/>
      <c r="Z1" s="11"/>
      <c r="AA1" s="11"/>
      <c r="AB1" s="11"/>
      <c r="AC1" s="11"/>
      <c r="AD1" s="11"/>
      <c r="AE1" s="11"/>
      <c r="AF1" s="11"/>
      <c r="AG1" s="11"/>
      <c r="AH1" s="11"/>
      <c r="AI1" s="11"/>
      <c r="AJ1" s="11"/>
    </row>
    <row r="2" spans="1:36" s="1" customFormat="1" ht="34.200000000000003" customHeight="1" thickBot="1" x14ac:dyDescent="0.55000000000000004">
      <c r="A2" s="35"/>
      <c r="B2" s="35"/>
      <c r="C2" s="35"/>
      <c r="D2" s="35"/>
      <c r="E2" s="35"/>
      <c r="F2" s="35"/>
      <c r="G2" s="35"/>
      <c r="H2" s="35"/>
      <c r="I2" s="36"/>
      <c r="J2" s="36"/>
      <c r="K2" s="36"/>
      <c r="L2" s="36"/>
      <c r="M2" s="35"/>
      <c r="N2" s="35"/>
      <c r="O2" s="35"/>
      <c r="P2" s="35"/>
      <c r="Q2" s="35"/>
      <c r="R2" s="35"/>
      <c r="S2" s="35"/>
      <c r="T2" s="35"/>
      <c r="U2" s="11"/>
      <c r="V2" s="11"/>
      <c r="W2" s="11"/>
      <c r="X2" s="11"/>
      <c r="Y2" s="11"/>
      <c r="Z2" s="11"/>
      <c r="AA2" s="11"/>
      <c r="AB2" s="11"/>
      <c r="AC2" s="11"/>
      <c r="AD2" s="11"/>
      <c r="AE2" s="11"/>
      <c r="AF2" s="11"/>
      <c r="AG2" s="11"/>
      <c r="AH2" s="11"/>
      <c r="AI2" s="11"/>
      <c r="AJ2" s="11"/>
    </row>
    <row r="3" spans="1:36" ht="34" thickTop="1" thickBot="1" x14ac:dyDescent="0.9">
      <c r="A3" s="11"/>
      <c r="B3" s="19"/>
      <c r="C3" s="24"/>
      <c r="D3" s="24"/>
      <c r="E3" s="24"/>
      <c r="F3" s="25"/>
      <c r="G3" s="18"/>
      <c r="H3" s="397" t="s">
        <v>124</v>
      </c>
      <c r="I3" s="397"/>
      <c r="J3" s="397"/>
      <c r="K3" s="397"/>
      <c r="L3" s="397"/>
      <c r="M3" s="18"/>
      <c r="N3" s="19"/>
      <c r="O3" s="24"/>
      <c r="P3" s="24"/>
      <c r="Q3" s="24"/>
      <c r="R3" s="24"/>
      <c r="S3" s="24"/>
      <c r="T3" s="25"/>
      <c r="U3" s="11"/>
      <c r="V3" s="11"/>
      <c r="W3" s="11"/>
      <c r="X3" s="11"/>
      <c r="Y3" s="11"/>
      <c r="Z3" s="11"/>
      <c r="AA3" s="11"/>
      <c r="AB3" s="11"/>
      <c r="AC3" s="11"/>
      <c r="AD3" s="11"/>
      <c r="AE3" s="11"/>
      <c r="AF3" s="11"/>
      <c r="AG3" s="11"/>
      <c r="AH3" s="11"/>
      <c r="AI3" s="11"/>
      <c r="AJ3" s="11"/>
    </row>
    <row r="4" spans="1:36" ht="14.7" thickTop="1" x14ac:dyDescent="0.5">
      <c r="A4" s="11"/>
      <c r="B4" s="12"/>
      <c r="C4" s="13"/>
      <c r="D4" s="13"/>
      <c r="E4" s="13"/>
      <c r="F4" s="13"/>
      <c r="G4" s="13"/>
      <c r="H4" s="13"/>
      <c r="I4" s="21"/>
      <c r="J4" s="21"/>
      <c r="K4" s="21"/>
      <c r="L4" s="21"/>
      <c r="M4" s="13"/>
      <c r="N4" s="13"/>
      <c r="O4" s="13"/>
      <c r="P4" s="13"/>
      <c r="Q4" s="13"/>
      <c r="R4" s="13"/>
      <c r="S4" s="13"/>
      <c r="T4" s="14"/>
      <c r="U4" s="11"/>
      <c r="V4" s="11"/>
      <c r="W4" s="11"/>
      <c r="X4" s="11"/>
      <c r="Y4" s="11"/>
      <c r="Z4" s="11"/>
      <c r="AA4" s="11"/>
      <c r="AB4" s="11"/>
      <c r="AC4" s="11"/>
      <c r="AD4" s="11"/>
      <c r="AE4" s="11"/>
      <c r="AF4" s="11"/>
      <c r="AG4" s="11"/>
      <c r="AH4" s="11"/>
      <c r="AI4" s="11"/>
      <c r="AJ4" s="11"/>
    </row>
    <row r="5" spans="1:36" x14ac:dyDescent="0.5">
      <c r="A5" s="11"/>
      <c r="B5" s="12"/>
      <c r="C5" s="13"/>
      <c r="D5" s="13"/>
      <c r="E5" s="13"/>
      <c r="F5" s="13"/>
      <c r="G5" s="13"/>
      <c r="H5" s="13"/>
      <c r="I5" s="21"/>
      <c r="J5" s="21"/>
      <c r="K5" s="21"/>
      <c r="L5" s="21"/>
      <c r="M5" s="13"/>
      <c r="N5" s="13"/>
      <c r="O5" s="13"/>
      <c r="P5" s="13"/>
      <c r="Q5" s="13"/>
      <c r="R5" s="13"/>
      <c r="S5" s="13"/>
      <c r="T5" s="14"/>
      <c r="U5" s="11"/>
      <c r="V5" s="11"/>
      <c r="W5" s="11"/>
      <c r="X5" s="11"/>
      <c r="Y5" s="11"/>
      <c r="Z5" s="11"/>
      <c r="AA5" s="11"/>
      <c r="AB5" s="11"/>
      <c r="AC5" s="11"/>
      <c r="AD5" s="11"/>
      <c r="AE5" s="11"/>
      <c r="AF5" s="11"/>
      <c r="AG5" s="11"/>
      <c r="AH5" s="11"/>
      <c r="AI5" s="11"/>
      <c r="AJ5" s="11"/>
    </row>
    <row r="6" spans="1:36" x14ac:dyDescent="0.5">
      <c r="A6" s="11"/>
      <c r="B6" s="12"/>
      <c r="C6" s="13"/>
      <c r="D6" s="13"/>
      <c r="E6" s="13"/>
      <c r="F6" s="13"/>
      <c r="G6" s="13"/>
      <c r="H6" s="13"/>
      <c r="I6" s="21"/>
      <c r="J6" s="21"/>
      <c r="K6" s="21"/>
      <c r="L6" s="21"/>
      <c r="M6" s="13"/>
      <c r="N6" s="13"/>
      <c r="O6" s="13"/>
      <c r="P6" s="13"/>
      <c r="Q6" s="13"/>
      <c r="R6" s="13"/>
      <c r="S6" s="13"/>
      <c r="T6" s="14"/>
      <c r="U6" s="11"/>
      <c r="V6" s="11"/>
      <c r="W6" s="11"/>
      <c r="X6" s="11"/>
      <c r="Y6" s="11"/>
      <c r="Z6" s="11"/>
      <c r="AA6" s="11"/>
      <c r="AB6" s="11"/>
      <c r="AC6" s="11"/>
      <c r="AD6" s="11"/>
      <c r="AE6" s="11"/>
      <c r="AF6" s="11"/>
      <c r="AG6" s="11"/>
      <c r="AH6" s="11"/>
      <c r="AI6" s="11"/>
      <c r="AJ6" s="11"/>
    </row>
    <row r="7" spans="1:36" x14ac:dyDescent="0.5">
      <c r="A7" s="11"/>
      <c r="B7" s="12"/>
      <c r="C7" s="13"/>
      <c r="D7" s="13"/>
      <c r="E7" s="13"/>
      <c r="F7" s="13"/>
      <c r="G7" s="13"/>
      <c r="H7" s="13"/>
      <c r="I7" s="21"/>
      <c r="J7" s="21"/>
      <c r="K7" s="21"/>
      <c r="L7" s="21"/>
      <c r="M7" s="13"/>
      <c r="N7" s="13"/>
      <c r="O7" s="13"/>
      <c r="P7" s="13"/>
      <c r="Q7" s="13"/>
      <c r="R7" s="13"/>
      <c r="S7" s="13"/>
      <c r="T7" s="14"/>
      <c r="U7" s="11"/>
      <c r="V7" s="11"/>
      <c r="W7" s="11"/>
      <c r="X7" s="11"/>
      <c r="Y7" s="11"/>
      <c r="Z7" s="11"/>
      <c r="AA7" s="11"/>
      <c r="AB7" s="11"/>
      <c r="AC7" s="11"/>
      <c r="AD7" s="11"/>
      <c r="AE7" s="11"/>
      <c r="AF7" s="11"/>
      <c r="AG7" s="11"/>
      <c r="AH7" s="11"/>
      <c r="AI7" s="11"/>
      <c r="AJ7" s="11"/>
    </row>
    <row r="8" spans="1:36" x14ac:dyDescent="0.5">
      <c r="A8" s="11"/>
      <c r="B8" s="12"/>
      <c r="C8" s="13"/>
      <c r="D8" s="13"/>
      <c r="E8" s="13"/>
      <c r="F8" s="13"/>
      <c r="G8" s="13"/>
      <c r="H8" s="13"/>
      <c r="I8" s="21"/>
      <c r="J8" s="21"/>
      <c r="K8" s="21"/>
      <c r="L8" s="21"/>
      <c r="M8" s="13"/>
      <c r="N8" s="13"/>
      <c r="O8" s="13"/>
      <c r="P8" s="13"/>
      <c r="Q8" s="13"/>
      <c r="R8" s="13"/>
      <c r="S8" s="13"/>
      <c r="T8" s="14"/>
      <c r="U8" s="11"/>
      <c r="V8" s="11"/>
      <c r="W8" s="11"/>
      <c r="X8" s="11"/>
      <c r="Y8" s="11"/>
      <c r="Z8" s="11"/>
      <c r="AA8" s="11"/>
      <c r="AB8" s="11"/>
      <c r="AC8" s="11"/>
      <c r="AD8" s="11"/>
      <c r="AE8" s="11"/>
      <c r="AF8" s="11"/>
      <c r="AG8" s="11"/>
      <c r="AH8" s="11"/>
      <c r="AI8" s="11"/>
      <c r="AJ8" s="11"/>
    </row>
    <row r="9" spans="1:36" x14ac:dyDescent="0.5">
      <c r="A9" s="11"/>
      <c r="B9" s="12"/>
      <c r="C9" s="13"/>
      <c r="D9" s="13"/>
      <c r="E9" s="13"/>
      <c r="F9" s="13"/>
      <c r="G9" s="13"/>
      <c r="H9" s="13"/>
      <c r="I9" s="21"/>
      <c r="J9" s="21"/>
      <c r="K9" s="21"/>
      <c r="L9" s="21"/>
      <c r="M9" s="13"/>
      <c r="N9" s="13"/>
      <c r="O9" s="13"/>
      <c r="P9" s="13"/>
      <c r="Q9" s="13"/>
      <c r="R9" s="13"/>
      <c r="S9" s="13"/>
      <c r="T9" s="14"/>
      <c r="U9" s="11"/>
      <c r="V9" s="11"/>
      <c r="W9" s="11"/>
      <c r="X9" s="11"/>
      <c r="Y9" s="11"/>
      <c r="Z9" s="11"/>
      <c r="AA9" s="11"/>
      <c r="AB9" s="11"/>
      <c r="AC9" s="11"/>
      <c r="AD9" s="11"/>
      <c r="AE9" s="11"/>
      <c r="AF9" s="11"/>
      <c r="AG9" s="11"/>
      <c r="AH9" s="11"/>
      <c r="AI9" s="11"/>
      <c r="AJ9" s="11"/>
    </row>
    <row r="10" spans="1:36" x14ac:dyDescent="0.5">
      <c r="A10" s="11"/>
      <c r="B10" s="12"/>
      <c r="C10" s="13"/>
      <c r="D10" s="13"/>
      <c r="E10" s="13"/>
      <c r="F10" s="13"/>
      <c r="G10" s="13"/>
      <c r="H10" s="13"/>
      <c r="I10" s="21"/>
      <c r="J10" s="21"/>
      <c r="K10" s="21"/>
      <c r="L10" s="21"/>
      <c r="M10" s="13"/>
      <c r="N10" s="13"/>
      <c r="O10" s="13"/>
      <c r="P10" s="13"/>
      <c r="Q10" s="13"/>
      <c r="R10" s="13"/>
      <c r="S10" s="13"/>
      <c r="T10" s="14"/>
      <c r="U10" s="11"/>
      <c r="V10" s="11"/>
      <c r="W10" s="11"/>
      <c r="X10" s="11"/>
      <c r="Y10" s="11"/>
      <c r="Z10" s="11"/>
      <c r="AA10" s="11"/>
      <c r="AB10" s="11"/>
      <c r="AC10" s="11"/>
      <c r="AD10" s="11"/>
      <c r="AE10" s="11"/>
      <c r="AF10" s="11"/>
      <c r="AG10" s="11"/>
      <c r="AH10" s="11"/>
      <c r="AI10" s="11"/>
      <c r="AJ10" s="11"/>
    </row>
    <row r="11" spans="1:36" x14ac:dyDescent="0.5">
      <c r="A11" s="11"/>
      <c r="B11" s="12"/>
      <c r="C11" s="13"/>
      <c r="D11" s="13"/>
      <c r="E11" s="13"/>
      <c r="F11" s="13"/>
      <c r="G11" s="13"/>
      <c r="H11" s="13"/>
      <c r="I11" s="21"/>
      <c r="J11" s="21"/>
      <c r="K11" s="21"/>
      <c r="L11" s="21"/>
      <c r="M11" s="13"/>
      <c r="N11" s="13"/>
      <c r="O11" s="13"/>
      <c r="P11" s="13"/>
      <c r="Q11" s="13"/>
      <c r="R11" s="13"/>
      <c r="S11" s="13"/>
      <c r="T11" s="14"/>
      <c r="U11" s="11"/>
      <c r="V11" s="11"/>
      <c r="W11" s="11"/>
      <c r="X11" s="11"/>
      <c r="Y11" s="11"/>
      <c r="Z11" s="11"/>
      <c r="AA11" s="11"/>
      <c r="AB11" s="11"/>
      <c r="AC11" s="11"/>
      <c r="AD11" s="11"/>
      <c r="AE11" s="11"/>
      <c r="AF11" s="11"/>
      <c r="AG11" s="11"/>
      <c r="AH11" s="11"/>
      <c r="AI11" s="11"/>
      <c r="AJ11" s="11"/>
    </row>
    <row r="12" spans="1:36" x14ac:dyDescent="0.5">
      <c r="A12" s="11"/>
      <c r="B12" s="12"/>
      <c r="C12" s="13"/>
      <c r="D12" s="13"/>
      <c r="E12" s="13"/>
      <c r="F12" s="13"/>
      <c r="G12" s="13"/>
      <c r="H12" s="13"/>
      <c r="I12" s="21"/>
      <c r="J12" s="21"/>
      <c r="K12" s="21"/>
      <c r="L12" s="21"/>
      <c r="M12" s="13"/>
      <c r="N12" s="13"/>
      <c r="O12" s="13"/>
      <c r="P12" s="13"/>
      <c r="Q12" s="13"/>
      <c r="R12" s="13"/>
      <c r="S12" s="13"/>
      <c r="T12" s="14"/>
      <c r="U12" s="11"/>
      <c r="V12" s="11"/>
      <c r="W12" s="11"/>
      <c r="X12" s="11"/>
      <c r="Y12" s="11"/>
      <c r="Z12" s="11"/>
      <c r="AA12" s="11"/>
      <c r="AB12" s="11"/>
      <c r="AC12" s="11"/>
      <c r="AD12" s="11"/>
      <c r="AE12" s="11"/>
      <c r="AF12" s="11"/>
      <c r="AG12" s="11"/>
      <c r="AH12" s="11"/>
      <c r="AI12" s="11"/>
      <c r="AJ12" s="11"/>
    </row>
    <row r="13" spans="1:36" x14ac:dyDescent="0.5">
      <c r="A13" s="11"/>
      <c r="B13" s="12"/>
      <c r="C13" s="13"/>
      <c r="D13" s="13"/>
      <c r="E13" s="13"/>
      <c r="F13" s="13"/>
      <c r="G13" s="13"/>
      <c r="H13" s="13"/>
      <c r="I13" s="21"/>
      <c r="J13" s="21"/>
      <c r="K13" s="21"/>
      <c r="L13" s="21"/>
      <c r="M13" s="13"/>
      <c r="N13" s="13"/>
      <c r="O13" s="13"/>
      <c r="P13" s="13"/>
      <c r="Q13" s="13"/>
      <c r="R13" s="13"/>
      <c r="S13" s="13"/>
      <c r="T13" s="14"/>
      <c r="U13" s="11"/>
      <c r="V13" s="11"/>
      <c r="W13" s="11"/>
      <c r="X13" s="11"/>
      <c r="Y13" s="11"/>
      <c r="Z13" s="11"/>
      <c r="AA13" s="11"/>
      <c r="AB13" s="11"/>
      <c r="AC13" s="11"/>
      <c r="AD13" s="11"/>
      <c r="AE13" s="11"/>
      <c r="AF13" s="11"/>
      <c r="AG13" s="11"/>
      <c r="AH13" s="11"/>
      <c r="AI13" s="11"/>
      <c r="AJ13" s="11"/>
    </row>
    <row r="14" spans="1:36" x14ac:dyDescent="0.5">
      <c r="A14" s="11"/>
      <c r="B14" s="12"/>
      <c r="C14" s="13"/>
      <c r="D14" s="13"/>
      <c r="E14" s="13"/>
      <c r="F14" s="13"/>
      <c r="G14" s="13"/>
      <c r="H14" s="13"/>
      <c r="I14" s="21"/>
      <c r="J14" s="21"/>
      <c r="K14" s="21"/>
      <c r="L14" s="21"/>
      <c r="M14" s="13"/>
      <c r="N14" s="13"/>
      <c r="O14" s="13"/>
      <c r="P14" s="13"/>
      <c r="Q14" s="13"/>
      <c r="R14" s="13"/>
      <c r="S14" s="13"/>
      <c r="T14" s="14"/>
      <c r="U14" s="11"/>
      <c r="V14" s="11"/>
      <c r="W14" s="11"/>
      <c r="X14" s="11"/>
      <c r="Y14" s="11"/>
      <c r="Z14" s="11"/>
      <c r="AA14" s="11"/>
      <c r="AB14" s="11"/>
      <c r="AC14" s="11"/>
      <c r="AD14" s="11"/>
      <c r="AE14" s="11"/>
      <c r="AF14" s="11"/>
      <c r="AG14" s="11"/>
      <c r="AH14" s="11"/>
      <c r="AI14" s="11"/>
      <c r="AJ14" s="11"/>
    </row>
    <row r="15" spans="1:36" x14ac:dyDescent="0.5">
      <c r="A15" s="11"/>
      <c r="B15" s="12"/>
      <c r="C15" s="13"/>
      <c r="D15" s="13"/>
      <c r="E15" s="13"/>
      <c r="F15" s="13"/>
      <c r="G15" s="13"/>
      <c r="H15" s="13"/>
      <c r="I15" s="21"/>
      <c r="J15" s="21"/>
      <c r="K15" s="21"/>
      <c r="L15" s="21"/>
      <c r="M15" s="13"/>
      <c r="N15" s="13"/>
      <c r="O15" s="13"/>
      <c r="P15" s="13"/>
      <c r="Q15" s="13"/>
      <c r="R15" s="13"/>
      <c r="S15" s="13"/>
      <c r="T15" s="14"/>
      <c r="U15" s="11"/>
      <c r="V15" s="11"/>
      <c r="W15" s="11"/>
      <c r="X15" s="11"/>
      <c r="Y15" s="11"/>
      <c r="Z15" s="11"/>
      <c r="AA15" s="11"/>
      <c r="AB15" s="11"/>
      <c r="AC15" s="11"/>
      <c r="AD15" s="11"/>
      <c r="AE15" s="11"/>
      <c r="AF15" s="11"/>
      <c r="AG15" s="11"/>
      <c r="AH15" s="11"/>
      <c r="AI15" s="11"/>
      <c r="AJ15" s="11"/>
    </row>
    <row r="16" spans="1:36" x14ac:dyDescent="0.5">
      <c r="A16" s="11"/>
      <c r="B16" s="12"/>
      <c r="C16" s="13"/>
      <c r="D16" s="13"/>
      <c r="E16" s="13"/>
      <c r="F16" s="13"/>
      <c r="G16" s="13"/>
      <c r="H16" s="13"/>
      <c r="I16" s="21"/>
      <c r="J16" s="21"/>
      <c r="K16" s="21"/>
      <c r="L16" s="21"/>
      <c r="M16" s="13"/>
      <c r="N16" s="13"/>
      <c r="O16" s="13"/>
      <c r="P16" s="13"/>
      <c r="Q16" s="13"/>
      <c r="R16" s="13"/>
      <c r="S16" s="13"/>
      <c r="T16" s="14"/>
      <c r="U16" s="11"/>
      <c r="V16" s="11"/>
      <c r="W16" s="11"/>
      <c r="X16" s="11"/>
      <c r="Y16" s="11"/>
      <c r="Z16" s="11"/>
      <c r="AA16" s="11"/>
      <c r="AB16" s="11"/>
      <c r="AC16" s="11"/>
      <c r="AD16" s="11"/>
      <c r="AE16" s="11"/>
      <c r="AF16" s="11"/>
      <c r="AG16" s="11"/>
      <c r="AH16" s="11"/>
      <c r="AI16" s="11"/>
      <c r="AJ16" s="11"/>
    </row>
    <row r="17" spans="1:36" x14ac:dyDescent="0.5">
      <c r="A17" s="11"/>
      <c r="B17" s="12"/>
      <c r="C17" s="13"/>
      <c r="D17" s="13"/>
      <c r="E17" s="13"/>
      <c r="F17" s="13"/>
      <c r="G17" s="13"/>
      <c r="H17" s="13"/>
      <c r="I17" s="21"/>
      <c r="J17" s="21"/>
      <c r="K17" s="21"/>
      <c r="L17" s="21"/>
      <c r="M17" s="13"/>
      <c r="N17" s="13"/>
      <c r="O17" s="13"/>
      <c r="P17" s="13"/>
      <c r="Q17" s="13"/>
      <c r="R17" s="13"/>
      <c r="S17" s="13"/>
      <c r="T17" s="14"/>
      <c r="U17" s="11"/>
      <c r="V17" s="11"/>
      <c r="W17" s="11"/>
      <c r="X17" s="11"/>
      <c r="Y17" s="11"/>
      <c r="Z17" s="11"/>
      <c r="AA17" s="11"/>
      <c r="AB17" s="11"/>
      <c r="AC17" s="11"/>
      <c r="AD17" s="11"/>
      <c r="AE17" s="11"/>
      <c r="AF17" s="11"/>
      <c r="AG17" s="11"/>
      <c r="AH17" s="11"/>
      <c r="AI17" s="11"/>
      <c r="AJ17" s="11"/>
    </row>
    <row r="18" spans="1:36" x14ac:dyDescent="0.5">
      <c r="A18" s="11"/>
      <c r="B18" s="12"/>
      <c r="C18" s="13"/>
      <c r="D18" s="13"/>
      <c r="E18" s="13"/>
      <c r="F18" s="13"/>
      <c r="G18" s="13"/>
      <c r="H18" s="13"/>
      <c r="I18" s="21"/>
      <c r="J18" s="21"/>
      <c r="K18" s="21"/>
      <c r="L18" s="21"/>
      <c r="M18" s="13"/>
      <c r="N18" s="13"/>
      <c r="O18" s="13"/>
      <c r="P18" s="13"/>
      <c r="Q18" s="13"/>
      <c r="R18" s="13"/>
      <c r="S18" s="13"/>
      <c r="T18" s="14"/>
      <c r="U18" s="11"/>
      <c r="V18" s="11"/>
      <c r="W18" s="11"/>
      <c r="X18" s="11"/>
      <c r="Y18" s="11"/>
      <c r="Z18" s="11"/>
      <c r="AA18" s="11"/>
      <c r="AB18" s="11"/>
      <c r="AC18" s="11"/>
      <c r="AD18" s="11"/>
      <c r="AE18" s="11"/>
      <c r="AF18" s="11"/>
      <c r="AG18" s="11"/>
      <c r="AH18" s="11"/>
      <c r="AI18" s="11"/>
      <c r="AJ18" s="11"/>
    </row>
    <row r="19" spans="1:36" x14ac:dyDescent="0.5">
      <c r="A19" s="11"/>
      <c r="B19" s="12"/>
      <c r="C19" s="13"/>
      <c r="D19" s="13"/>
      <c r="E19" s="13"/>
      <c r="F19" s="13"/>
      <c r="G19" s="13"/>
      <c r="H19" s="13"/>
      <c r="I19" s="21"/>
      <c r="J19" s="21"/>
      <c r="K19" s="21"/>
      <c r="L19" s="21"/>
      <c r="M19" s="13"/>
      <c r="N19" s="13"/>
      <c r="O19" s="13"/>
      <c r="P19" s="13"/>
      <c r="Q19" s="13"/>
      <c r="R19" s="13"/>
      <c r="S19" s="13"/>
      <c r="T19" s="14"/>
      <c r="U19" s="11"/>
      <c r="V19" s="11"/>
      <c r="W19" s="11"/>
      <c r="X19" s="11"/>
      <c r="Y19" s="11"/>
      <c r="Z19" s="11"/>
      <c r="AA19" s="11"/>
      <c r="AB19" s="11"/>
      <c r="AC19" s="11"/>
      <c r="AD19" s="11"/>
      <c r="AE19" s="11"/>
      <c r="AF19" s="11"/>
      <c r="AG19" s="11"/>
      <c r="AH19" s="11"/>
      <c r="AI19" s="11"/>
      <c r="AJ19" s="11"/>
    </row>
    <row r="20" spans="1:36" x14ac:dyDescent="0.5">
      <c r="A20" s="11"/>
      <c r="B20" s="12"/>
      <c r="C20" s="13"/>
      <c r="D20" s="13"/>
      <c r="E20" s="13"/>
      <c r="F20" s="13"/>
      <c r="G20" s="13"/>
      <c r="H20" s="13"/>
      <c r="I20" s="21"/>
      <c r="J20" s="21"/>
      <c r="K20" s="21"/>
      <c r="L20" s="21"/>
      <c r="M20" s="13"/>
      <c r="N20" s="13"/>
      <c r="O20" s="13"/>
      <c r="P20" s="13"/>
      <c r="Q20" s="13"/>
      <c r="R20" s="13"/>
      <c r="S20" s="13"/>
      <c r="T20" s="14"/>
      <c r="U20" s="11"/>
      <c r="V20" s="11"/>
      <c r="W20" s="11"/>
      <c r="X20" s="11"/>
      <c r="Y20" s="11"/>
      <c r="Z20" s="11"/>
      <c r="AA20" s="11"/>
      <c r="AB20" s="11"/>
      <c r="AC20" s="11"/>
      <c r="AD20" s="11"/>
      <c r="AE20" s="11"/>
      <c r="AF20" s="11"/>
      <c r="AG20" s="11"/>
      <c r="AH20" s="11"/>
      <c r="AI20" s="11"/>
      <c r="AJ20" s="11"/>
    </row>
    <row r="21" spans="1:36" x14ac:dyDescent="0.5">
      <c r="A21" s="11"/>
      <c r="B21" s="12"/>
      <c r="C21" s="13"/>
      <c r="D21" s="13"/>
      <c r="E21" s="13"/>
      <c r="F21" s="13"/>
      <c r="G21" s="13"/>
      <c r="H21" s="13"/>
      <c r="I21" s="21"/>
      <c r="J21" s="21"/>
      <c r="K21" s="21"/>
      <c r="L21" s="21"/>
      <c r="M21" s="13"/>
      <c r="N21" s="13"/>
      <c r="O21" s="13"/>
      <c r="P21" s="13"/>
      <c r="Q21" s="13"/>
      <c r="R21" s="13"/>
      <c r="S21" s="13"/>
      <c r="T21" s="14"/>
      <c r="U21" s="11"/>
      <c r="V21" s="11"/>
      <c r="W21" s="11"/>
      <c r="X21" s="11"/>
      <c r="Y21" s="11"/>
      <c r="Z21" s="11"/>
      <c r="AA21" s="11"/>
      <c r="AB21" s="11"/>
      <c r="AC21" s="11"/>
      <c r="AD21" s="11"/>
      <c r="AE21" s="11"/>
      <c r="AF21" s="11"/>
      <c r="AG21" s="11"/>
      <c r="AH21" s="11"/>
      <c r="AI21" s="11"/>
      <c r="AJ21" s="11"/>
    </row>
    <row r="22" spans="1:36" x14ac:dyDescent="0.5">
      <c r="A22" s="11"/>
      <c r="B22" s="12"/>
      <c r="C22" s="13"/>
      <c r="D22" s="13"/>
      <c r="E22" s="13"/>
      <c r="F22" s="13"/>
      <c r="G22" s="13"/>
      <c r="H22" s="13"/>
      <c r="I22" s="21"/>
      <c r="J22" s="21"/>
      <c r="K22" s="21"/>
      <c r="L22" s="21"/>
      <c r="M22" s="13"/>
      <c r="N22" s="13"/>
      <c r="O22" s="13"/>
      <c r="P22" s="13"/>
      <c r="Q22" s="13"/>
      <c r="R22" s="13"/>
      <c r="S22" s="13"/>
      <c r="T22" s="14"/>
      <c r="U22" s="11"/>
      <c r="V22" s="11"/>
      <c r="W22" s="11"/>
      <c r="X22" s="11"/>
      <c r="Y22" s="11"/>
      <c r="Z22" s="11"/>
      <c r="AA22" s="11"/>
      <c r="AB22" s="11"/>
      <c r="AC22" s="11"/>
      <c r="AD22" s="11"/>
      <c r="AE22" s="11"/>
      <c r="AF22" s="11"/>
      <c r="AG22" s="11"/>
      <c r="AH22" s="11"/>
      <c r="AI22" s="11"/>
      <c r="AJ22" s="11"/>
    </row>
    <row r="23" spans="1:36" x14ac:dyDescent="0.5">
      <c r="A23" s="11"/>
      <c r="B23" s="12"/>
      <c r="C23" s="13"/>
      <c r="D23" s="13"/>
      <c r="E23" s="13"/>
      <c r="F23" s="13"/>
      <c r="G23" s="13"/>
      <c r="H23" s="13"/>
      <c r="I23" s="21"/>
      <c r="J23" s="21"/>
      <c r="K23" s="21"/>
      <c r="L23" s="21"/>
      <c r="M23" s="13"/>
      <c r="N23" s="13"/>
      <c r="O23" s="13"/>
      <c r="P23" s="13"/>
      <c r="Q23" s="13"/>
      <c r="R23" s="13"/>
      <c r="S23" s="13"/>
      <c r="T23" s="14"/>
      <c r="U23" s="11"/>
      <c r="V23" s="11"/>
      <c r="W23" s="11"/>
      <c r="X23" s="11"/>
      <c r="Y23" s="11"/>
      <c r="Z23" s="11"/>
      <c r="AA23" s="11"/>
      <c r="AB23" s="11"/>
      <c r="AC23" s="11"/>
      <c r="AD23" s="11"/>
      <c r="AE23" s="11"/>
      <c r="AF23" s="11"/>
      <c r="AG23" s="11"/>
      <c r="AH23" s="11"/>
      <c r="AI23" s="11"/>
      <c r="AJ23" s="11"/>
    </row>
    <row r="24" spans="1:36" x14ac:dyDescent="0.5">
      <c r="A24" s="11"/>
      <c r="B24" s="12"/>
      <c r="C24" s="13"/>
      <c r="D24" s="13"/>
      <c r="E24" s="13"/>
      <c r="F24" s="13"/>
      <c r="G24" s="13"/>
      <c r="H24" s="13"/>
      <c r="I24" s="21"/>
      <c r="J24" s="21"/>
      <c r="K24" s="21"/>
      <c r="L24" s="21"/>
      <c r="M24" s="13"/>
      <c r="N24" s="13"/>
      <c r="O24" s="13"/>
      <c r="P24" s="13"/>
      <c r="Q24" s="13"/>
      <c r="R24" s="13"/>
      <c r="S24" s="13"/>
      <c r="T24" s="14"/>
      <c r="U24" s="11"/>
      <c r="V24" s="11"/>
      <c r="W24" s="11"/>
      <c r="X24" s="11"/>
      <c r="Y24" s="11"/>
      <c r="Z24" s="11"/>
      <c r="AA24" s="11"/>
      <c r="AB24" s="11"/>
      <c r="AC24" s="11"/>
      <c r="AD24" s="11"/>
      <c r="AE24" s="11"/>
      <c r="AF24" s="11"/>
      <c r="AG24" s="11"/>
      <c r="AH24" s="11"/>
      <c r="AI24" s="11"/>
      <c r="AJ24" s="11"/>
    </row>
    <row r="25" spans="1:36" x14ac:dyDescent="0.5">
      <c r="A25" s="11"/>
      <c r="B25" s="12"/>
      <c r="C25" s="13"/>
      <c r="D25" s="13"/>
      <c r="E25" s="13"/>
      <c r="F25" s="13"/>
      <c r="G25" s="13"/>
      <c r="H25" s="13"/>
      <c r="I25" s="21"/>
      <c r="J25" s="21"/>
      <c r="K25" s="21"/>
      <c r="L25" s="21"/>
      <c r="M25" s="13"/>
      <c r="N25" s="13"/>
      <c r="O25" s="13"/>
      <c r="P25" s="13"/>
      <c r="Q25" s="13"/>
      <c r="R25" s="13"/>
      <c r="S25" s="13"/>
      <c r="T25" s="14"/>
      <c r="U25" s="11"/>
      <c r="V25" s="11"/>
      <c r="W25" s="11"/>
      <c r="X25" s="11"/>
      <c r="Y25" s="11"/>
      <c r="Z25" s="11"/>
      <c r="AA25" s="11"/>
      <c r="AB25" s="11"/>
      <c r="AC25" s="11"/>
      <c r="AD25" s="11"/>
      <c r="AE25" s="11"/>
      <c r="AF25" s="11"/>
      <c r="AG25" s="11"/>
      <c r="AH25" s="11"/>
      <c r="AI25" s="11"/>
      <c r="AJ25" s="11"/>
    </row>
    <row r="26" spans="1:36" x14ac:dyDescent="0.5">
      <c r="A26" s="11"/>
      <c r="B26" s="12"/>
      <c r="C26" s="13"/>
      <c r="D26" s="13"/>
      <c r="E26" s="13"/>
      <c r="F26" s="13"/>
      <c r="G26" s="13"/>
      <c r="H26" s="13"/>
      <c r="I26" s="21"/>
      <c r="J26" s="21"/>
      <c r="K26" s="21"/>
      <c r="L26" s="21"/>
      <c r="M26" s="13"/>
      <c r="N26" s="13"/>
      <c r="O26" s="13"/>
      <c r="P26" s="13"/>
      <c r="Q26" s="13"/>
      <c r="R26" s="13"/>
      <c r="S26" s="13"/>
      <c r="T26" s="14"/>
      <c r="U26" s="11"/>
      <c r="V26" s="11"/>
      <c r="W26" s="11"/>
      <c r="X26" s="11"/>
      <c r="Y26" s="11"/>
      <c r="Z26" s="11"/>
      <c r="AA26" s="11"/>
      <c r="AB26" s="11"/>
      <c r="AC26" s="11"/>
      <c r="AD26" s="11"/>
      <c r="AE26" s="11"/>
      <c r="AF26" s="11"/>
      <c r="AG26" s="11"/>
      <c r="AH26" s="11"/>
      <c r="AI26" s="11"/>
      <c r="AJ26" s="11"/>
    </row>
    <row r="27" spans="1:36" x14ac:dyDescent="0.5">
      <c r="A27" s="11"/>
      <c r="B27" s="12"/>
      <c r="C27" s="13"/>
      <c r="D27" s="13"/>
      <c r="E27" s="13"/>
      <c r="F27" s="13"/>
      <c r="G27" s="13"/>
      <c r="H27" s="13"/>
      <c r="I27" s="21"/>
      <c r="J27" s="21"/>
      <c r="K27" s="21"/>
      <c r="L27" s="21"/>
      <c r="M27" s="13"/>
      <c r="N27" s="13"/>
      <c r="O27" s="13"/>
      <c r="P27" s="13"/>
      <c r="Q27" s="13"/>
      <c r="R27" s="13"/>
      <c r="S27" s="13"/>
      <c r="T27" s="14"/>
      <c r="U27" s="11"/>
      <c r="V27" s="11"/>
      <c r="W27" s="11"/>
      <c r="X27" s="11"/>
      <c r="Y27" s="11"/>
      <c r="Z27" s="11"/>
      <c r="AA27" s="11"/>
      <c r="AB27" s="11"/>
      <c r="AC27" s="11"/>
      <c r="AD27" s="11"/>
      <c r="AE27" s="11"/>
      <c r="AF27" s="11"/>
      <c r="AG27" s="11"/>
      <c r="AH27" s="11"/>
      <c r="AI27" s="11"/>
      <c r="AJ27" s="11"/>
    </row>
    <row r="28" spans="1:36" x14ac:dyDescent="0.5">
      <c r="A28" s="11"/>
      <c r="B28" s="12"/>
      <c r="C28" s="13"/>
      <c r="D28" s="13"/>
      <c r="E28" s="13"/>
      <c r="F28" s="13"/>
      <c r="G28" s="13"/>
      <c r="H28" s="13"/>
      <c r="I28" s="21"/>
      <c r="J28" s="21"/>
      <c r="K28" s="21"/>
      <c r="L28" s="21"/>
      <c r="M28" s="13"/>
      <c r="N28" s="13"/>
      <c r="O28" s="13"/>
      <c r="P28" s="13"/>
      <c r="Q28" s="13"/>
      <c r="R28" s="13"/>
      <c r="S28" s="13"/>
      <c r="T28" s="14"/>
      <c r="U28" s="11"/>
      <c r="V28" s="11"/>
      <c r="W28" s="11"/>
      <c r="X28" s="11"/>
      <c r="Y28" s="11"/>
      <c r="Z28" s="11"/>
      <c r="AA28" s="11"/>
      <c r="AB28" s="11"/>
      <c r="AC28" s="11"/>
      <c r="AD28" s="11"/>
      <c r="AE28" s="11"/>
      <c r="AF28" s="11"/>
      <c r="AG28" s="11"/>
      <c r="AH28" s="11"/>
      <c r="AI28" s="11"/>
      <c r="AJ28" s="11"/>
    </row>
    <row r="29" spans="1:36" x14ac:dyDescent="0.5">
      <c r="A29" s="11"/>
      <c r="B29" s="12"/>
      <c r="C29" s="13"/>
      <c r="D29" s="13"/>
      <c r="E29" s="13"/>
      <c r="F29" s="13"/>
      <c r="G29" s="13"/>
      <c r="H29" s="13"/>
      <c r="I29" s="21"/>
      <c r="J29" s="21"/>
      <c r="K29" s="21"/>
      <c r="L29" s="21"/>
      <c r="M29" s="13"/>
      <c r="N29" s="13"/>
      <c r="O29" s="13"/>
      <c r="P29" s="13"/>
      <c r="Q29" s="13"/>
      <c r="R29" s="13"/>
      <c r="S29" s="13"/>
      <c r="T29" s="14"/>
      <c r="U29" s="11"/>
      <c r="V29" s="11"/>
      <c r="W29" s="11"/>
      <c r="X29" s="11"/>
      <c r="Y29" s="11"/>
      <c r="Z29" s="11"/>
      <c r="AA29" s="11"/>
      <c r="AB29" s="11"/>
      <c r="AC29" s="11"/>
      <c r="AD29" s="11"/>
      <c r="AE29" s="11"/>
      <c r="AF29" s="11"/>
      <c r="AG29" s="11"/>
      <c r="AH29" s="11"/>
      <c r="AI29" s="11"/>
      <c r="AJ29" s="11"/>
    </row>
    <row r="30" spans="1:36" x14ac:dyDescent="0.5">
      <c r="A30" s="11"/>
      <c r="B30" s="12"/>
      <c r="C30" s="13"/>
      <c r="D30" s="13"/>
      <c r="E30" s="13"/>
      <c r="F30" s="13"/>
      <c r="G30" s="13"/>
      <c r="H30" s="13"/>
      <c r="I30" s="21"/>
      <c r="J30" s="21"/>
      <c r="K30" s="21"/>
      <c r="L30" s="21"/>
      <c r="M30" s="13"/>
      <c r="N30" s="13"/>
      <c r="O30" s="13"/>
      <c r="P30" s="13"/>
      <c r="Q30" s="13"/>
      <c r="R30" s="13"/>
      <c r="S30" s="13"/>
      <c r="T30" s="14"/>
      <c r="U30" s="11"/>
      <c r="V30" s="11"/>
      <c r="W30" s="11"/>
      <c r="X30" s="11"/>
      <c r="Y30" s="11"/>
      <c r="Z30" s="11"/>
      <c r="AA30" s="11"/>
      <c r="AB30" s="11"/>
      <c r="AC30" s="11"/>
      <c r="AD30" s="11"/>
      <c r="AE30" s="11"/>
      <c r="AF30" s="11"/>
      <c r="AG30" s="11"/>
      <c r="AH30" s="11"/>
      <c r="AI30" s="11"/>
      <c r="AJ30" s="11"/>
    </row>
    <row r="31" spans="1:36" x14ac:dyDescent="0.5">
      <c r="A31" s="11"/>
      <c r="B31" s="12"/>
      <c r="C31" s="13"/>
      <c r="D31" s="13"/>
      <c r="E31" s="13"/>
      <c r="F31" s="13"/>
      <c r="G31" s="13"/>
      <c r="H31" s="13"/>
      <c r="I31" s="21"/>
      <c r="J31" s="21"/>
      <c r="K31" s="21"/>
      <c r="L31" s="21"/>
      <c r="M31" s="13"/>
      <c r="N31" s="13"/>
      <c r="O31" s="13"/>
      <c r="P31" s="13"/>
      <c r="Q31" s="13"/>
      <c r="R31" s="13"/>
      <c r="S31" s="13"/>
      <c r="T31" s="14"/>
      <c r="U31" s="11"/>
      <c r="V31" s="11"/>
      <c r="W31" s="11"/>
      <c r="X31" s="11"/>
      <c r="Y31" s="11"/>
      <c r="Z31" s="11"/>
      <c r="AA31" s="11"/>
      <c r="AB31" s="11"/>
      <c r="AC31" s="11"/>
      <c r="AD31" s="11"/>
      <c r="AE31" s="11"/>
      <c r="AF31" s="11"/>
      <c r="AG31" s="11"/>
      <c r="AH31" s="11"/>
      <c r="AI31" s="11"/>
      <c r="AJ31" s="11"/>
    </row>
    <row r="32" spans="1:36" x14ac:dyDescent="0.5">
      <c r="A32" s="11"/>
      <c r="B32" s="12"/>
      <c r="C32" s="13"/>
      <c r="D32" s="13"/>
      <c r="E32" s="13"/>
      <c r="F32" s="13"/>
      <c r="G32" s="13"/>
      <c r="H32" s="13"/>
      <c r="I32" s="21"/>
      <c r="J32" s="21"/>
      <c r="K32" s="21"/>
      <c r="L32" s="21"/>
      <c r="M32" s="13"/>
      <c r="N32" s="13"/>
      <c r="O32" s="13"/>
      <c r="P32" s="13"/>
      <c r="Q32" s="13"/>
      <c r="R32" s="13"/>
      <c r="S32" s="13"/>
      <c r="T32" s="14"/>
      <c r="U32" s="11"/>
      <c r="V32" s="11"/>
      <c r="W32" s="11"/>
      <c r="X32" s="11"/>
      <c r="Y32" s="11"/>
      <c r="Z32" s="11"/>
      <c r="AA32" s="11"/>
      <c r="AB32" s="11"/>
      <c r="AC32" s="11"/>
      <c r="AD32" s="11"/>
      <c r="AE32" s="11"/>
      <c r="AF32" s="11"/>
      <c r="AG32" s="11"/>
      <c r="AH32" s="11"/>
      <c r="AI32" s="11"/>
      <c r="AJ32" s="11"/>
    </row>
    <row r="33" spans="1:36" x14ac:dyDescent="0.5">
      <c r="A33" s="11"/>
      <c r="B33" s="12"/>
      <c r="C33" s="13"/>
      <c r="D33" s="13"/>
      <c r="E33" s="13"/>
      <c r="F33" s="13"/>
      <c r="G33" s="13"/>
      <c r="H33" s="13"/>
      <c r="I33" s="21"/>
      <c r="J33" s="21"/>
      <c r="K33" s="21"/>
      <c r="L33" s="21"/>
      <c r="M33" s="13"/>
      <c r="N33" s="13"/>
      <c r="O33" s="13"/>
      <c r="P33" s="13"/>
      <c r="Q33" s="13"/>
      <c r="R33" s="13"/>
      <c r="S33" s="13"/>
      <c r="T33" s="14"/>
      <c r="U33" s="11"/>
      <c r="V33" s="11"/>
      <c r="W33" s="11"/>
      <c r="X33" s="11"/>
      <c r="Y33" s="11"/>
      <c r="Z33" s="11"/>
      <c r="AA33" s="11"/>
      <c r="AB33" s="11"/>
      <c r="AC33" s="11"/>
      <c r="AD33" s="11"/>
      <c r="AE33" s="11"/>
      <c r="AF33" s="11"/>
      <c r="AG33" s="11"/>
      <c r="AH33" s="11"/>
      <c r="AI33" s="11"/>
      <c r="AJ33" s="11"/>
    </row>
    <row r="34" spans="1:36" x14ac:dyDescent="0.5">
      <c r="A34" s="11"/>
      <c r="B34" s="12"/>
      <c r="C34" s="13"/>
      <c r="D34" s="13"/>
      <c r="E34" s="13"/>
      <c r="F34" s="13"/>
      <c r="G34" s="13"/>
      <c r="H34" s="13"/>
      <c r="I34" s="21"/>
      <c r="J34" s="21"/>
      <c r="K34" s="21"/>
      <c r="L34" s="21"/>
      <c r="M34" s="13"/>
      <c r="N34" s="13"/>
      <c r="O34" s="13"/>
      <c r="P34" s="13"/>
      <c r="Q34" s="13"/>
      <c r="R34" s="13"/>
      <c r="S34" s="13"/>
      <c r="T34" s="14"/>
      <c r="U34" s="11"/>
      <c r="V34" s="11"/>
      <c r="W34" s="11"/>
      <c r="X34" s="11"/>
      <c r="Y34" s="11"/>
      <c r="Z34" s="11"/>
      <c r="AA34" s="11"/>
      <c r="AB34" s="11"/>
      <c r="AC34" s="11"/>
      <c r="AD34" s="11"/>
      <c r="AE34" s="11"/>
      <c r="AF34" s="11"/>
      <c r="AG34" s="11"/>
      <c r="AH34" s="11"/>
      <c r="AI34" s="11"/>
      <c r="AJ34" s="11"/>
    </row>
    <row r="35" spans="1:36" x14ac:dyDescent="0.5">
      <c r="A35" s="11"/>
      <c r="B35" s="12"/>
      <c r="C35" s="13"/>
      <c r="D35" s="13"/>
      <c r="E35" s="13"/>
      <c r="F35" s="13"/>
      <c r="G35" s="13"/>
      <c r="H35" s="13"/>
      <c r="I35" s="21"/>
      <c r="J35" s="21"/>
      <c r="K35" s="21"/>
      <c r="L35" s="21"/>
      <c r="M35" s="13"/>
      <c r="N35" s="13"/>
      <c r="O35" s="13"/>
      <c r="P35" s="13"/>
      <c r="Q35" s="13"/>
      <c r="R35" s="13"/>
      <c r="S35" s="13"/>
      <c r="T35" s="14"/>
      <c r="U35" s="11"/>
      <c r="V35" s="11"/>
      <c r="W35" s="11"/>
      <c r="X35" s="11"/>
      <c r="Y35" s="11"/>
      <c r="Z35" s="11"/>
      <c r="AA35" s="11"/>
      <c r="AB35" s="11"/>
      <c r="AC35" s="11"/>
      <c r="AD35" s="11"/>
      <c r="AE35" s="11"/>
      <c r="AF35" s="11"/>
      <c r="AG35" s="11"/>
      <c r="AH35" s="11"/>
      <c r="AI35" s="11"/>
      <c r="AJ35" s="11"/>
    </row>
    <row r="36" spans="1:36" x14ac:dyDescent="0.5">
      <c r="A36" s="11"/>
      <c r="B36" s="12"/>
      <c r="C36" s="13"/>
      <c r="D36" s="13"/>
      <c r="E36" s="13"/>
      <c r="F36" s="13"/>
      <c r="G36" s="13"/>
      <c r="H36" s="13"/>
      <c r="I36" s="21"/>
      <c r="J36" s="21"/>
      <c r="K36" s="21"/>
      <c r="L36" s="21"/>
      <c r="M36" s="13"/>
      <c r="N36" s="13"/>
      <c r="O36" s="13"/>
      <c r="P36" s="13"/>
      <c r="Q36" s="13"/>
      <c r="R36" s="13"/>
      <c r="S36" s="13"/>
      <c r="T36" s="14"/>
      <c r="U36" s="11"/>
      <c r="V36" s="11"/>
      <c r="W36" s="11"/>
      <c r="X36" s="11"/>
      <c r="Y36" s="11"/>
      <c r="Z36" s="11"/>
      <c r="AA36" s="11"/>
      <c r="AB36" s="11"/>
      <c r="AC36" s="11"/>
      <c r="AD36" s="11"/>
      <c r="AE36" s="11"/>
      <c r="AF36" s="11"/>
      <c r="AG36" s="11"/>
      <c r="AH36" s="11"/>
      <c r="AI36" s="11"/>
      <c r="AJ36" s="11"/>
    </row>
    <row r="37" spans="1:36" x14ac:dyDescent="0.5">
      <c r="A37" s="11"/>
      <c r="B37" s="12"/>
      <c r="C37" s="13"/>
      <c r="D37" s="13"/>
      <c r="E37" s="13"/>
      <c r="F37" s="13"/>
      <c r="G37" s="13"/>
      <c r="H37" s="13"/>
      <c r="I37" s="21"/>
      <c r="J37" s="21"/>
      <c r="K37" s="21"/>
      <c r="L37" s="21"/>
      <c r="M37" s="13"/>
      <c r="N37" s="13"/>
      <c r="O37" s="13"/>
      <c r="P37" s="13"/>
      <c r="Q37" s="13"/>
      <c r="R37" s="13"/>
      <c r="S37" s="13"/>
      <c r="T37" s="14"/>
      <c r="U37" s="11"/>
      <c r="V37" s="11"/>
      <c r="W37" s="11"/>
      <c r="X37" s="11"/>
      <c r="Y37" s="11"/>
      <c r="Z37" s="11"/>
      <c r="AA37" s="11"/>
      <c r="AB37" s="11"/>
      <c r="AC37" s="11"/>
      <c r="AD37" s="11"/>
      <c r="AE37" s="11"/>
      <c r="AF37" s="11"/>
      <c r="AG37" s="11"/>
      <c r="AH37" s="11"/>
      <c r="AI37" s="11"/>
      <c r="AJ37" s="11"/>
    </row>
    <row r="38" spans="1:36" x14ac:dyDescent="0.5">
      <c r="A38" s="11"/>
      <c r="B38" s="12"/>
      <c r="C38" s="13"/>
      <c r="D38" s="13"/>
      <c r="E38" s="13"/>
      <c r="F38" s="13"/>
      <c r="G38" s="13"/>
      <c r="H38" s="13"/>
      <c r="I38" s="21"/>
      <c r="J38" s="21"/>
      <c r="K38" s="21"/>
      <c r="L38" s="21"/>
      <c r="M38" s="13"/>
      <c r="N38" s="13"/>
      <c r="O38" s="13"/>
      <c r="P38" s="13"/>
      <c r="Q38" s="13"/>
      <c r="R38" s="13"/>
      <c r="S38" s="13"/>
      <c r="T38" s="14"/>
      <c r="U38" s="11"/>
      <c r="V38" s="11"/>
      <c r="W38" s="11"/>
      <c r="X38" s="11"/>
      <c r="Y38" s="11"/>
      <c r="Z38" s="11"/>
      <c r="AA38" s="11"/>
      <c r="AB38" s="11"/>
      <c r="AC38" s="11"/>
      <c r="AD38" s="11"/>
      <c r="AE38" s="11"/>
      <c r="AF38" s="11"/>
      <c r="AG38" s="11"/>
      <c r="AH38" s="11"/>
      <c r="AI38" s="11"/>
      <c r="AJ38" s="11"/>
    </row>
    <row r="39" spans="1:36" x14ac:dyDescent="0.5">
      <c r="A39" s="11"/>
      <c r="B39" s="12"/>
      <c r="C39" s="13"/>
      <c r="D39" s="13"/>
      <c r="E39" s="13"/>
      <c r="F39" s="13"/>
      <c r="G39" s="13"/>
      <c r="H39" s="13"/>
      <c r="I39" s="21"/>
      <c r="J39" s="21"/>
      <c r="K39" s="21"/>
      <c r="L39" s="21"/>
      <c r="M39" s="13"/>
      <c r="N39" s="13"/>
      <c r="O39" s="13"/>
      <c r="P39" s="13"/>
      <c r="Q39" s="13"/>
      <c r="R39" s="13"/>
      <c r="S39" s="13"/>
      <c r="T39" s="14"/>
      <c r="U39" s="11"/>
      <c r="V39" s="11"/>
      <c r="W39" s="11"/>
      <c r="X39" s="11"/>
      <c r="Y39" s="11"/>
      <c r="Z39" s="11"/>
      <c r="AA39" s="11"/>
      <c r="AB39" s="11"/>
      <c r="AC39" s="11"/>
      <c r="AD39" s="11"/>
      <c r="AE39" s="11"/>
      <c r="AF39" s="11"/>
      <c r="AG39" s="11"/>
      <c r="AH39" s="11"/>
      <c r="AI39" s="11"/>
      <c r="AJ39" s="11"/>
    </row>
    <row r="40" spans="1:36" x14ac:dyDescent="0.5">
      <c r="A40" s="11"/>
      <c r="B40" s="12"/>
      <c r="C40" s="13"/>
      <c r="D40" s="13"/>
      <c r="E40" s="13"/>
      <c r="F40" s="13"/>
      <c r="G40" s="13"/>
      <c r="H40" s="13"/>
      <c r="I40" s="21"/>
      <c r="J40" s="21"/>
      <c r="K40" s="21"/>
      <c r="L40" s="21"/>
      <c r="M40" s="13"/>
      <c r="N40" s="13"/>
      <c r="O40" s="13"/>
      <c r="P40" s="13"/>
      <c r="Q40" s="13"/>
      <c r="R40" s="13"/>
      <c r="S40" s="13"/>
      <c r="T40" s="14"/>
      <c r="U40" s="11"/>
      <c r="V40" s="11"/>
      <c r="W40" s="11"/>
      <c r="X40" s="11"/>
      <c r="Y40" s="11"/>
      <c r="Z40" s="11"/>
      <c r="AA40" s="11"/>
      <c r="AB40" s="11"/>
      <c r="AC40" s="11"/>
      <c r="AD40" s="11"/>
      <c r="AE40" s="11"/>
      <c r="AF40" s="11"/>
      <c r="AG40" s="11"/>
      <c r="AH40" s="11"/>
      <c r="AI40" s="11"/>
      <c r="AJ40" s="11"/>
    </row>
    <row r="41" spans="1:36" ht="14.7" thickBot="1" x14ac:dyDescent="0.55000000000000004">
      <c r="A41" s="11"/>
      <c r="B41" s="15"/>
      <c r="C41" s="16"/>
      <c r="D41" s="16"/>
      <c r="E41" s="16"/>
      <c r="F41" s="16"/>
      <c r="G41" s="16"/>
      <c r="H41" s="16"/>
      <c r="I41" s="22"/>
      <c r="J41" s="22"/>
      <c r="K41" s="22"/>
      <c r="L41" s="22"/>
      <c r="M41" s="16"/>
      <c r="N41" s="16"/>
      <c r="O41" s="16"/>
      <c r="P41" s="16"/>
      <c r="Q41" s="16"/>
      <c r="R41" s="16"/>
      <c r="S41" s="16"/>
      <c r="T41" s="17"/>
      <c r="U41" s="11"/>
      <c r="V41" s="11"/>
      <c r="W41" s="11"/>
      <c r="X41" s="11"/>
      <c r="Y41" s="11"/>
      <c r="Z41" s="11"/>
      <c r="AA41" s="11"/>
      <c r="AB41" s="11"/>
      <c r="AC41" s="11"/>
      <c r="AD41" s="11"/>
      <c r="AE41" s="11"/>
      <c r="AF41" s="11"/>
      <c r="AG41" s="11"/>
      <c r="AH41" s="11"/>
      <c r="AI41" s="11"/>
      <c r="AJ41" s="11"/>
    </row>
    <row r="42" spans="1:36" ht="14.7" thickTop="1" x14ac:dyDescent="0.5">
      <c r="A42" s="11"/>
      <c r="B42" s="11"/>
      <c r="C42" s="11"/>
      <c r="D42" s="11"/>
      <c r="E42" s="11"/>
      <c r="F42" s="11"/>
      <c r="G42" s="11"/>
      <c r="H42" s="11"/>
      <c r="I42" s="20"/>
      <c r="J42" s="20"/>
      <c r="K42" s="20"/>
      <c r="L42" s="20"/>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x14ac:dyDescent="0.5">
      <c r="A43" s="11"/>
      <c r="B43" s="11"/>
      <c r="C43" s="11"/>
      <c r="D43" s="11"/>
      <c r="E43" s="11"/>
      <c r="F43" s="11"/>
      <c r="G43" s="11"/>
      <c r="H43" s="11"/>
      <c r="I43" s="20"/>
      <c r="J43" s="20"/>
      <c r="K43" s="20"/>
      <c r="L43" s="20"/>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x14ac:dyDescent="0.5">
      <c r="A44" s="11"/>
      <c r="B44" s="11"/>
      <c r="C44" s="11"/>
      <c r="D44" s="11"/>
      <c r="E44" s="11"/>
      <c r="F44" s="11"/>
      <c r="G44" s="11"/>
      <c r="H44" s="11"/>
      <c r="I44" s="20"/>
      <c r="J44" s="20"/>
      <c r="K44" s="20"/>
      <c r="L44" s="20"/>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x14ac:dyDescent="0.5">
      <c r="A45" s="11"/>
      <c r="B45" s="11"/>
      <c r="C45" s="11"/>
      <c r="D45" s="11"/>
      <c r="E45" s="11"/>
      <c r="F45" s="11"/>
      <c r="G45" s="11"/>
      <c r="H45" s="11"/>
      <c r="I45" s="20"/>
      <c r="J45" s="20"/>
      <c r="K45" s="20"/>
      <c r="L45" s="20"/>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x14ac:dyDescent="0.5">
      <c r="A46" s="11"/>
      <c r="B46" s="11"/>
      <c r="C46" s="11"/>
      <c r="D46" s="11"/>
      <c r="E46" s="11"/>
      <c r="F46" s="11"/>
      <c r="G46" s="11"/>
      <c r="H46" s="11"/>
      <c r="I46" s="20"/>
      <c r="J46" s="20"/>
      <c r="K46" s="20"/>
      <c r="L46" s="20"/>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x14ac:dyDescent="0.5">
      <c r="A47" s="11"/>
      <c r="B47" s="11"/>
      <c r="C47" s="11"/>
      <c r="D47" s="11"/>
      <c r="E47" s="11"/>
      <c r="F47" s="11"/>
      <c r="G47" s="11"/>
      <c r="H47" s="11"/>
      <c r="I47" s="20"/>
      <c r="J47" s="20"/>
      <c r="K47" s="20"/>
      <c r="L47" s="20"/>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x14ac:dyDescent="0.5">
      <c r="A48" s="11"/>
      <c r="B48" s="11"/>
      <c r="C48" s="11"/>
      <c r="D48" s="11"/>
      <c r="E48" s="11"/>
      <c r="F48" s="11"/>
      <c r="G48" s="11"/>
      <c r="H48" s="11"/>
      <c r="I48" s="20"/>
      <c r="J48" s="20"/>
      <c r="K48" s="20"/>
      <c r="L48" s="20"/>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x14ac:dyDescent="0.5">
      <c r="A49" s="11"/>
      <c r="B49" s="11"/>
      <c r="C49" s="11"/>
      <c r="D49" s="11"/>
      <c r="E49" s="11"/>
      <c r="F49" s="11"/>
      <c r="G49" s="11"/>
      <c r="H49" s="11"/>
      <c r="I49" s="20"/>
      <c r="J49" s="20"/>
      <c r="K49" s="20"/>
      <c r="L49" s="20"/>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x14ac:dyDescent="0.5">
      <c r="A50" s="11"/>
      <c r="B50" s="11"/>
      <c r="C50" s="11"/>
      <c r="D50" s="11"/>
      <c r="E50" s="11"/>
      <c r="F50" s="11"/>
      <c r="G50" s="11"/>
      <c r="H50" s="11"/>
      <c r="I50" s="20"/>
      <c r="J50" s="20"/>
      <c r="K50" s="20"/>
      <c r="L50" s="20"/>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5">
      <c r="A51" s="11"/>
      <c r="B51" s="11"/>
      <c r="C51" s="11"/>
      <c r="D51" s="11"/>
      <c r="E51" s="11"/>
      <c r="F51" s="11"/>
      <c r="G51" s="11"/>
      <c r="H51" s="11"/>
      <c r="I51" s="20"/>
      <c r="J51" s="20"/>
      <c r="K51" s="20"/>
      <c r="L51" s="20"/>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5">
      <c r="A52" s="11"/>
      <c r="B52" s="11"/>
      <c r="C52" s="11"/>
      <c r="D52" s="11"/>
      <c r="E52" s="11"/>
      <c r="F52" s="11"/>
      <c r="G52" s="11"/>
      <c r="H52" s="11"/>
      <c r="I52" s="20"/>
      <c r="J52" s="20"/>
      <c r="K52" s="20"/>
      <c r="L52" s="20"/>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x14ac:dyDescent="0.5">
      <c r="A53" s="11"/>
      <c r="B53" s="11"/>
      <c r="C53" s="11"/>
      <c r="D53" s="11"/>
      <c r="E53" s="11"/>
      <c r="F53" s="11"/>
      <c r="G53" s="11"/>
      <c r="H53" s="11"/>
      <c r="I53" s="20"/>
      <c r="J53" s="20"/>
      <c r="K53" s="20"/>
      <c r="L53" s="20"/>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x14ac:dyDescent="0.5">
      <c r="A54" s="11"/>
      <c r="B54" s="11"/>
      <c r="C54" s="11"/>
      <c r="D54" s="11"/>
      <c r="E54" s="11"/>
      <c r="F54" s="11"/>
      <c r="G54" s="11"/>
      <c r="H54" s="11"/>
      <c r="I54" s="20"/>
      <c r="J54" s="20"/>
      <c r="K54" s="20"/>
      <c r="L54" s="20"/>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x14ac:dyDescent="0.5">
      <c r="A55" s="11"/>
      <c r="B55" s="11"/>
      <c r="C55" s="11"/>
      <c r="D55" s="11"/>
      <c r="E55" s="11"/>
      <c r="F55" s="11"/>
      <c r="G55" s="11"/>
      <c r="H55" s="11"/>
      <c r="I55" s="20"/>
      <c r="J55" s="20"/>
      <c r="K55" s="20"/>
      <c r="L55" s="20"/>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x14ac:dyDescent="0.5">
      <c r="A56" s="11"/>
      <c r="B56" s="11"/>
      <c r="C56" s="11"/>
      <c r="D56" s="11"/>
      <c r="E56" s="11"/>
      <c r="F56" s="11"/>
      <c r="G56" s="11"/>
      <c r="H56" s="11"/>
      <c r="I56" s="20"/>
      <c r="J56" s="20"/>
      <c r="K56" s="20"/>
      <c r="L56" s="20"/>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x14ac:dyDescent="0.5">
      <c r="A57" s="11"/>
      <c r="B57" s="11"/>
      <c r="C57" s="11"/>
      <c r="D57" s="11"/>
      <c r="E57" s="11"/>
      <c r="F57" s="11"/>
      <c r="G57" s="11"/>
      <c r="H57" s="11"/>
      <c r="I57" s="20"/>
      <c r="J57" s="20"/>
      <c r="K57" s="20"/>
      <c r="L57" s="20"/>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x14ac:dyDescent="0.5">
      <c r="A58" s="11"/>
      <c r="B58" s="11"/>
      <c r="C58" s="11"/>
      <c r="D58" s="11"/>
      <c r="E58" s="11"/>
      <c r="F58" s="11"/>
      <c r="G58" s="11"/>
      <c r="H58" s="11"/>
      <c r="I58" s="20"/>
      <c r="J58" s="20"/>
      <c r="K58" s="20"/>
      <c r="L58" s="20"/>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x14ac:dyDescent="0.5">
      <c r="A59" s="11"/>
      <c r="B59" s="11"/>
      <c r="C59" s="11"/>
      <c r="D59" s="11"/>
      <c r="E59" s="11"/>
      <c r="F59" s="11"/>
      <c r="G59" s="11"/>
      <c r="H59" s="11"/>
      <c r="I59" s="20"/>
      <c r="J59" s="20"/>
      <c r="K59" s="20"/>
      <c r="L59" s="20"/>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5">
      <c r="A60" s="11"/>
      <c r="B60" s="11"/>
      <c r="C60" s="11"/>
      <c r="D60" s="11"/>
      <c r="E60" s="11"/>
      <c r="F60" s="11"/>
      <c r="G60" s="11"/>
      <c r="H60" s="11"/>
      <c r="I60" s="20"/>
      <c r="J60" s="20"/>
      <c r="K60" s="20"/>
      <c r="L60" s="20"/>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5">
      <c r="A61" s="11"/>
      <c r="B61" s="11"/>
      <c r="C61" s="11"/>
      <c r="D61" s="11"/>
      <c r="E61" s="11"/>
      <c r="F61" s="11"/>
      <c r="G61" s="11"/>
      <c r="H61" s="11"/>
      <c r="I61" s="20"/>
      <c r="J61" s="20"/>
      <c r="K61" s="20"/>
      <c r="L61" s="20"/>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x14ac:dyDescent="0.5">
      <c r="A62" s="11"/>
      <c r="B62" s="11"/>
      <c r="C62" s="11"/>
      <c r="D62" s="11"/>
      <c r="E62" s="11"/>
      <c r="F62" s="11"/>
      <c r="G62" s="11"/>
      <c r="H62" s="11"/>
      <c r="I62" s="20"/>
      <c r="J62" s="20"/>
      <c r="K62" s="20"/>
      <c r="L62" s="20"/>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5">
      <c r="A63" s="11"/>
      <c r="B63" s="11"/>
      <c r="C63" s="11"/>
      <c r="D63" s="11"/>
      <c r="E63" s="11"/>
      <c r="F63" s="11"/>
      <c r="G63" s="11"/>
      <c r="H63" s="11"/>
      <c r="I63" s="20"/>
      <c r="J63" s="20"/>
      <c r="K63" s="20"/>
      <c r="L63" s="20"/>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5">
      <c r="A64" s="11"/>
      <c r="B64" s="11"/>
      <c r="C64" s="11"/>
      <c r="D64" s="11"/>
      <c r="E64" s="11"/>
      <c r="F64" s="11"/>
      <c r="G64" s="11"/>
      <c r="H64" s="11"/>
      <c r="I64" s="20"/>
      <c r="J64" s="20"/>
      <c r="K64" s="20"/>
      <c r="L64" s="20"/>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5">
      <c r="A65" s="11"/>
      <c r="B65" s="11"/>
      <c r="C65" s="11"/>
      <c r="D65" s="11"/>
      <c r="E65" s="11"/>
      <c r="F65" s="11"/>
      <c r="G65" s="11"/>
      <c r="H65" s="11"/>
      <c r="I65" s="20"/>
      <c r="J65" s="20"/>
      <c r="K65" s="20"/>
      <c r="L65" s="20"/>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5">
      <c r="A66" s="11"/>
      <c r="B66" s="11"/>
      <c r="C66" s="11"/>
      <c r="D66" s="11"/>
      <c r="E66" s="11"/>
      <c r="F66" s="11"/>
      <c r="G66" s="11"/>
      <c r="H66" s="11"/>
      <c r="I66" s="20"/>
      <c r="J66" s="20"/>
      <c r="K66" s="20"/>
      <c r="L66" s="20"/>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x14ac:dyDescent="0.5">
      <c r="A67" s="11"/>
      <c r="B67" s="11"/>
      <c r="C67" s="11"/>
      <c r="D67" s="11"/>
      <c r="E67" s="11"/>
      <c r="F67" s="11"/>
      <c r="G67" s="11"/>
      <c r="H67" s="11"/>
      <c r="I67" s="20"/>
      <c r="J67" s="20"/>
      <c r="K67" s="20"/>
      <c r="L67" s="20"/>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x14ac:dyDescent="0.5">
      <c r="A68" s="11"/>
      <c r="B68" s="11"/>
      <c r="C68" s="11"/>
      <c r="D68" s="11"/>
      <c r="E68" s="11"/>
      <c r="F68" s="11"/>
      <c r="G68" s="11"/>
      <c r="H68" s="11"/>
      <c r="I68" s="20"/>
      <c r="J68" s="20"/>
      <c r="K68" s="20"/>
      <c r="L68" s="20"/>
      <c r="M68" s="11"/>
      <c r="N68" s="11"/>
      <c r="O68" s="11"/>
      <c r="P68" s="11"/>
      <c r="Q68" s="11"/>
      <c r="R68" s="11"/>
      <c r="S68" s="11"/>
      <c r="T68" s="11"/>
      <c r="U68" s="11"/>
      <c r="V68" s="11"/>
      <c r="W68" s="11"/>
      <c r="X68" s="11"/>
      <c r="Y68" s="11"/>
      <c r="Z68" s="11"/>
      <c r="AA68" s="11"/>
      <c r="AB68" s="11"/>
      <c r="AC68" s="11"/>
      <c r="AD68" s="11"/>
      <c r="AE68" s="11"/>
      <c r="AF68" s="11"/>
      <c r="AG68" s="11"/>
      <c r="AH68" s="11"/>
      <c r="AI68" s="11"/>
      <c r="AJ68" s="11"/>
    </row>
    <row r="69" spans="1:36" x14ac:dyDescent="0.5">
      <c r="A69" s="11"/>
      <c r="B69" s="11"/>
      <c r="C69" s="11"/>
      <c r="D69" s="11"/>
      <c r="E69" s="11"/>
      <c r="F69" s="11"/>
      <c r="G69" s="11"/>
      <c r="H69" s="11"/>
      <c r="I69" s="20"/>
      <c r="J69" s="20"/>
      <c r="K69" s="20"/>
      <c r="L69" s="20"/>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x14ac:dyDescent="0.5">
      <c r="A70" s="11"/>
      <c r="B70" s="11"/>
      <c r="C70" s="11"/>
      <c r="D70" s="11"/>
      <c r="E70" s="11"/>
      <c r="F70" s="11"/>
      <c r="G70" s="11"/>
      <c r="H70" s="11"/>
      <c r="I70" s="20"/>
      <c r="J70" s="20"/>
      <c r="K70" s="20"/>
      <c r="L70" s="20"/>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x14ac:dyDescent="0.5">
      <c r="A71" s="11"/>
      <c r="B71" s="11"/>
      <c r="C71" s="11"/>
      <c r="D71" s="11"/>
      <c r="E71" s="11"/>
      <c r="F71" s="11"/>
      <c r="G71" s="11"/>
      <c r="H71" s="11"/>
      <c r="I71" s="20"/>
      <c r="J71" s="20"/>
      <c r="K71" s="20"/>
      <c r="L71" s="20"/>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x14ac:dyDescent="0.5">
      <c r="A72" s="11"/>
      <c r="B72" s="11"/>
      <c r="C72" s="11"/>
      <c r="D72" s="11"/>
      <c r="E72" s="11"/>
      <c r="F72" s="11"/>
      <c r="G72" s="11"/>
      <c r="H72" s="11"/>
      <c r="I72" s="20"/>
      <c r="J72" s="20"/>
      <c r="K72" s="20"/>
      <c r="L72" s="20"/>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x14ac:dyDescent="0.5">
      <c r="A73" s="11"/>
      <c r="B73" s="11"/>
      <c r="C73" s="11"/>
      <c r="D73" s="11"/>
      <c r="E73" s="11"/>
      <c r="F73" s="11"/>
      <c r="G73" s="11"/>
      <c r="H73" s="11"/>
      <c r="I73" s="20"/>
      <c r="J73" s="20"/>
      <c r="K73" s="20"/>
      <c r="L73" s="20"/>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x14ac:dyDescent="0.5">
      <c r="A74" s="11"/>
      <c r="B74" s="11"/>
      <c r="C74" s="11"/>
      <c r="D74" s="11"/>
      <c r="E74" s="11"/>
      <c r="F74" s="11"/>
      <c r="G74" s="11"/>
      <c r="H74" s="11"/>
      <c r="I74" s="20"/>
      <c r="J74" s="20"/>
      <c r="K74" s="20"/>
      <c r="L74" s="20"/>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1:36" x14ac:dyDescent="0.5">
      <c r="A75" s="11"/>
      <c r="B75" s="11"/>
      <c r="C75" s="11"/>
      <c r="D75" s="11"/>
      <c r="E75" s="11"/>
      <c r="F75" s="11"/>
      <c r="G75" s="11"/>
      <c r="H75" s="11"/>
      <c r="I75" s="20"/>
      <c r="J75" s="20"/>
      <c r="K75" s="20"/>
      <c r="L75" s="20"/>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5">
      <c r="A76" s="11"/>
      <c r="B76" s="11"/>
      <c r="C76" s="11"/>
      <c r="D76" s="11"/>
      <c r="E76" s="11"/>
      <c r="F76" s="11"/>
      <c r="G76" s="11"/>
      <c r="H76" s="11"/>
      <c r="I76" s="20"/>
      <c r="J76" s="20"/>
      <c r="K76" s="20"/>
      <c r="L76" s="20"/>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5">
      <c r="A77" s="11"/>
      <c r="B77" s="11"/>
      <c r="C77" s="11"/>
      <c r="D77" s="11"/>
      <c r="E77" s="11"/>
      <c r="F77" s="11"/>
      <c r="G77" s="11"/>
      <c r="H77" s="11"/>
      <c r="I77" s="20"/>
      <c r="J77" s="20"/>
      <c r="K77" s="20"/>
      <c r="L77" s="20"/>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x14ac:dyDescent="0.5">
      <c r="A78" s="11"/>
      <c r="B78" s="11"/>
      <c r="C78" s="11"/>
      <c r="D78" s="11"/>
      <c r="E78" s="11"/>
      <c r="F78" s="11"/>
      <c r="G78" s="11"/>
      <c r="H78" s="11"/>
      <c r="I78" s="20"/>
      <c r="J78" s="20"/>
      <c r="K78" s="20"/>
      <c r="L78" s="20"/>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1:36" x14ac:dyDescent="0.5">
      <c r="A79" s="11"/>
      <c r="B79" s="11"/>
      <c r="C79" s="11"/>
      <c r="D79" s="11"/>
      <c r="E79" s="11"/>
      <c r="F79" s="11"/>
      <c r="G79" s="11"/>
      <c r="H79" s="11"/>
      <c r="I79" s="20"/>
      <c r="J79" s="20"/>
      <c r="K79" s="20"/>
      <c r="L79" s="20"/>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36" x14ac:dyDescent="0.5">
      <c r="A80" s="11"/>
      <c r="B80" s="11"/>
      <c r="C80" s="11"/>
      <c r="D80" s="11"/>
      <c r="E80" s="11"/>
      <c r="F80" s="11"/>
      <c r="G80" s="11"/>
      <c r="H80" s="11"/>
      <c r="I80" s="20"/>
      <c r="J80" s="20"/>
      <c r="K80" s="20"/>
      <c r="L80" s="20"/>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x14ac:dyDescent="0.5">
      <c r="A81" s="11"/>
      <c r="B81" s="11"/>
      <c r="C81" s="11"/>
      <c r="D81" s="11"/>
      <c r="E81" s="11"/>
      <c r="F81" s="11"/>
      <c r="G81" s="11"/>
      <c r="H81" s="11"/>
      <c r="I81" s="20"/>
      <c r="J81" s="20"/>
      <c r="K81" s="20"/>
      <c r="L81" s="20"/>
      <c r="M81" s="11"/>
      <c r="N81" s="11"/>
      <c r="O81" s="11"/>
      <c r="P81" s="11"/>
      <c r="Q81" s="11"/>
      <c r="R81" s="11"/>
      <c r="S81" s="11"/>
      <c r="T81" s="11"/>
      <c r="U81" s="11"/>
      <c r="V81" s="11"/>
      <c r="W81" s="11"/>
      <c r="X81" s="11"/>
      <c r="Y81" s="11"/>
      <c r="Z81" s="11"/>
      <c r="AA81" s="11"/>
      <c r="AB81" s="11"/>
      <c r="AC81" s="11"/>
      <c r="AD81" s="11"/>
      <c r="AE81" s="11"/>
      <c r="AF81" s="11"/>
      <c r="AG81" s="11"/>
      <c r="AH81" s="11"/>
      <c r="AI81" s="11"/>
      <c r="AJ81" s="11"/>
    </row>
    <row r="82" spans="1:36" x14ac:dyDescent="0.5">
      <c r="A82" s="11"/>
      <c r="B82" s="11"/>
      <c r="C82" s="11"/>
      <c r="D82" s="11"/>
      <c r="E82" s="11"/>
      <c r="F82" s="11"/>
      <c r="G82" s="11"/>
      <c r="H82" s="11"/>
      <c r="I82" s="20"/>
      <c r="J82" s="20"/>
      <c r="K82" s="20"/>
      <c r="L82" s="20"/>
      <c r="M82" s="11"/>
      <c r="N82" s="11"/>
      <c r="O82" s="11"/>
      <c r="P82" s="11"/>
      <c r="Q82" s="11"/>
      <c r="R82" s="11"/>
      <c r="S82" s="11"/>
      <c r="T82" s="11"/>
      <c r="U82" s="11"/>
      <c r="V82" s="11"/>
      <c r="W82" s="11"/>
      <c r="X82" s="11"/>
      <c r="Y82" s="11"/>
      <c r="Z82" s="11"/>
      <c r="AA82" s="11"/>
      <c r="AB82" s="11"/>
      <c r="AC82" s="11"/>
      <c r="AD82" s="11"/>
      <c r="AE82" s="11"/>
      <c r="AF82" s="11"/>
      <c r="AG82" s="11"/>
      <c r="AH82" s="11"/>
      <c r="AI82" s="11"/>
      <c r="AJ82" s="11"/>
    </row>
    <row r="83" spans="1:36" x14ac:dyDescent="0.5">
      <c r="A83" s="11"/>
      <c r="B83" s="11"/>
      <c r="C83" s="11"/>
      <c r="D83" s="11"/>
      <c r="E83" s="11"/>
      <c r="F83" s="11"/>
      <c r="G83" s="11"/>
      <c r="H83" s="11"/>
      <c r="I83" s="20"/>
      <c r="J83" s="20"/>
      <c r="K83" s="20"/>
      <c r="L83" s="20"/>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5">
      <c r="A84" s="11"/>
      <c r="B84" s="11"/>
      <c r="C84" s="11"/>
      <c r="D84" s="11"/>
      <c r="E84" s="11"/>
      <c r="F84" s="11"/>
      <c r="G84" s="11"/>
      <c r="H84" s="11"/>
      <c r="I84" s="20"/>
      <c r="J84" s="20"/>
      <c r="K84" s="20"/>
      <c r="L84" s="20"/>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x14ac:dyDescent="0.5">
      <c r="A85" s="11"/>
      <c r="B85" s="11"/>
      <c r="C85" s="11"/>
      <c r="D85" s="11"/>
      <c r="E85" s="11"/>
      <c r="F85" s="11"/>
      <c r="G85" s="11"/>
      <c r="H85" s="11"/>
      <c r="I85" s="20"/>
      <c r="J85" s="20"/>
      <c r="K85" s="20"/>
      <c r="L85" s="20"/>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x14ac:dyDescent="0.5">
      <c r="A86" s="11"/>
      <c r="B86" s="11"/>
      <c r="C86" s="11"/>
      <c r="D86" s="11"/>
      <c r="E86" s="11"/>
      <c r="F86" s="11"/>
      <c r="G86" s="11"/>
      <c r="H86" s="11"/>
      <c r="I86" s="20"/>
      <c r="J86" s="20"/>
      <c r="K86" s="20"/>
      <c r="L86" s="20"/>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x14ac:dyDescent="0.5">
      <c r="A87" s="11"/>
      <c r="B87" s="11"/>
      <c r="C87" s="11"/>
      <c r="D87" s="11"/>
      <c r="E87" s="11"/>
      <c r="F87" s="11"/>
      <c r="G87" s="11"/>
      <c r="H87" s="11"/>
      <c r="I87" s="20"/>
      <c r="J87" s="20"/>
      <c r="K87" s="20"/>
      <c r="L87" s="20"/>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x14ac:dyDescent="0.5">
      <c r="A88" s="11"/>
      <c r="B88" s="11"/>
      <c r="C88" s="11"/>
      <c r="D88" s="11"/>
      <c r="E88" s="11"/>
      <c r="F88" s="11"/>
      <c r="G88" s="11"/>
      <c r="H88" s="11"/>
      <c r="I88" s="20"/>
      <c r="J88" s="20"/>
      <c r="K88" s="20"/>
      <c r="L88" s="20"/>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x14ac:dyDescent="0.5">
      <c r="A89" s="11"/>
      <c r="B89" s="11"/>
      <c r="C89" s="11"/>
      <c r="D89" s="11"/>
      <c r="E89" s="11"/>
      <c r="F89" s="11"/>
      <c r="G89" s="11"/>
      <c r="H89" s="11"/>
      <c r="I89" s="20"/>
      <c r="J89" s="20"/>
      <c r="K89" s="20"/>
      <c r="L89" s="20"/>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x14ac:dyDescent="0.5">
      <c r="A90" s="11"/>
      <c r="B90" s="11"/>
      <c r="C90" s="11"/>
      <c r="D90" s="11"/>
      <c r="E90" s="11"/>
      <c r="F90" s="11"/>
      <c r="G90" s="11"/>
      <c r="H90" s="11"/>
      <c r="I90" s="20"/>
      <c r="J90" s="20"/>
      <c r="K90" s="20"/>
      <c r="L90" s="20"/>
      <c r="M90" s="11"/>
      <c r="N90" s="11"/>
      <c r="O90" s="11"/>
      <c r="P90" s="11"/>
      <c r="Q90" s="11"/>
      <c r="R90" s="11"/>
      <c r="S90" s="11"/>
      <c r="T90" s="11"/>
      <c r="U90" s="11"/>
      <c r="V90" s="11"/>
      <c r="W90" s="11"/>
      <c r="X90" s="11"/>
      <c r="Y90" s="11"/>
      <c r="Z90" s="11"/>
      <c r="AA90" s="11"/>
      <c r="AB90" s="11"/>
      <c r="AC90" s="11"/>
      <c r="AD90" s="11"/>
      <c r="AE90" s="11"/>
      <c r="AF90" s="11"/>
      <c r="AG90" s="11"/>
      <c r="AH90" s="11"/>
      <c r="AI90" s="11"/>
      <c r="AJ90" s="11"/>
    </row>
  </sheetData>
  <sheetProtection algorithmName="SHA-512" hashValue="ptofpJL8u/iaoqcV4BWPN56fEIS/lpsQK2cnWm8jO5f/ofpjfklXMG4f4th00hm/Ug65l/zpXGWsCJ/Acd2zSQ==" saltValue="18U3DG3avL+m87OyvcS+aw==" spinCount="100000" sheet="1" objects="1" scenarios="1" selectLockedCells="1"/>
  <mergeCells count="2">
    <mergeCell ref="H3:L3"/>
    <mergeCell ref="A1:T1"/>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W78"/>
  <sheetViews>
    <sheetView topLeftCell="A2" zoomScaleNormal="100" workbookViewId="0">
      <selection sqref="A1:N1"/>
    </sheetView>
  </sheetViews>
  <sheetFormatPr defaultRowHeight="14.35" x14ac:dyDescent="0.5"/>
  <sheetData>
    <row r="1" spans="1:49" hidden="1" x14ac:dyDescent="0.5">
      <c r="A1" s="328"/>
      <c r="B1" s="328"/>
      <c r="C1" s="328"/>
      <c r="D1" s="328"/>
      <c r="E1" s="328"/>
      <c r="F1" s="328"/>
      <c r="G1" s="328"/>
      <c r="H1" s="328"/>
      <c r="I1" s="328"/>
      <c r="J1" s="328"/>
      <c r="K1" s="328"/>
      <c r="L1" s="328"/>
      <c r="M1" s="328"/>
      <c r="N1" s="328"/>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1:49" s="1" customFormat="1" x14ac:dyDescent="0.5">
      <c r="A2" s="34"/>
      <c r="B2" s="34"/>
      <c r="C2" s="34"/>
      <c r="D2" s="34"/>
      <c r="E2" s="34"/>
      <c r="F2" s="34"/>
      <c r="G2" s="34"/>
      <c r="H2" s="34"/>
      <c r="I2" s="34"/>
      <c r="J2" s="34"/>
      <c r="K2" s="34"/>
      <c r="L2" s="34"/>
      <c r="M2" s="34"/>
      <c r="N2" s="34"/>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x14ac:dyDescent="0.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ht="14.7" thickBot="1" x14ac:dyDescent="0.550000000000000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spans="1:49" ht="36" customHeight="1" thickTop="1" x14ac:dyDescent="0.5">
      <c r="A5" s="10"/>
      <c r="B5" s="399" t="s">
        <v>151</v>
      </c>
      <c r="C5" s="400"/>
      <c r="D5" s="400"/>
      <c r="E5" s="400"/>
      <c r="F5" s="400"/>
      <c r="G5" s="400"/>
      <c r="H5" s="400"/>
      <c r="I5" s="400"/>
      <c r="J5" s="400"/>
      <c r="K5" s="400"/>
      <c r="L5" s="400"/>
      <c r="M5" s="401"/>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x14ac:dyDescent="0.5">
      <c r="A6" s="10"/>
      <c r="B6" s="402"/>
      <c r="C6" s="403"/>
      <c r="D6" s="403"/>
      <c r="E6" s="403"/>
      <c r="F6" s="403"/>
      <c r="G6" s="403"/>
      <c r="H6" s="403"/>
      <c r="I6" s="403"/>
      <c r="J6" s="403"/>
      <c r="K6" s="403"/>
      <c r="L6" s="403"/>
      <c r="M6" s="40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x14ac:dyDescent="0.5">
      <c r="A7" s="10"/>
      <c r="B7" s="402"/>
      <c r="C7" s="403"/>
      <c r="D7" s="403"/>
      <c r="E7" s="403"/>
      <c r="F7" s="403"/>
      <c r="G7" s="403"/>
      <c r="H7" s="403"/>
      <c r="I7" s="403"/>
      <c r="J7" s="403"/>
      <c r="K7" s="403"/>
      <c r="L7" s="403"/>
      <c r="M7" s="404"/>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x14ac:dyDescent="0.5">
      <c r="A8" s="10"/>
      <c r="B8" s="402"/>
      <c r="C8" s="403"/>
      <c r="D8" s="403"/>
      <c r="E8" s="403"/>
      <c r="F8" s="403"/>
      <c r="G8" s="403"/>
      <c r="H8" s="403"/>
      <c r="I8" s="403"/>
      <c r="J8" s="403"/>
      <c r="K8" s="403"/>
      <c r="L8" s="403"/>
      <c r="M8" s="404"/>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x14ac:dyDescent="0.5">
      <c r="A9" s="10"/>
      <c r="B9" s="402"/>
      <c r="C9" s="403"/>
      <c r="D9" s="403"/>
      <c r="E9" s="403"/>
      <c r="F9" s="403"/>
      <c r="G9" s="403"/>
      <c r="H9" s="403"/>
      <c r="I9" s="403"/>
      <c r="J9" s="403"/>
      <c r="K9" s="403"/>
      <c r="L9" s="403"/>
      <c r="M9" s="404"/>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49" x14ac:dyDescent="0.5">
      <c r="A10" s="10"/>
      <c r="B10" s="402"/>
      <c r="C10" s="403"/>
      <c r="D10" s="403"/>
      <c r="E10" s="403"/>
      <c r="F10" s="403"/>
      <c r="G10" s="403"/>
      <c r="H10" s="403"/>
      <c r="I10" s="403"/>
      <c r="J10" s="403"/>
      <c r="K10" s="403"/>
      <c r="L10" s="403"/>
      <c r="M10" s="404"/>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ht="14.7" thickBot="1" x14ac:dyDescent="0.55000000000000004">
      <c r="A11" s="10"/>
      <c r="B11" s="405"/>
      <c r="C11" s="406"/>
      <c r="D11" s="406"/>
      <c r="E11" s="406"/>
      <c r="F11" s="406"/>
      <c r="G11" s="406"/>
      <c r="H11" s="406"/>
      <c r="I11" s="406"/>
      <c r="J11" s="406"/>
      <c r="K11" s="406"/>
      <c r="L11" s="406"/>
      <c r="M11" s="40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1:49" ht="15" thickTop="1" thickBot="1" x14ac:dyDescent="0.5500000000000000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29.35" customHeight="1" thickTop="1" x14ac:dyDescent="0.5">
      <c r="A13" s="10"/>
      <c r="B13" s="408" t="s">
        <v>138</v>
      </c>
      <c r="C13" s="409"/>
      <c r="D13" s="409"/>
      <c r="E13" s="409"/>
      <c r="F13" s="409"/>
      <c r="G13" s="409"/>
      <c r="H13" s="409"/>
      <c r="I13" s="409"/>
      <c r="J13" s="409"/>
      <c r="K13" s="409"/>
      <c r="L13" s="409"/>
      <c r="M13" s="4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29.35" customHeight="1" thickBot="1" x14ac:dyDescent="0.55000000000000004">
      <c r="A14" s="10"/>
      <c r="B14" s="411"/>
      <c r="C14" s="412"/>
      <c r="D14" s="412"/>
      <c r="E14" s="412"/>
      <c r="F14" s="412"/>
      <c r="G14" s="412"/>
      <c r="H14" s="412"/>
      <c r="I14" s="412"/>
      <c r="J14" s="412"/>
      <c r="K14" s="412"/>
      <c r="L14" s="412"/>
      <c r="M14" s="413"/>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ht="14.7" thickTop="1" x14ac:dyDescent="0.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x14ac:dyDescent="0.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x14ac:dyDescent="0.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row>
    <row r="18" spans="1:49" x14ac:dyDescent="0.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spans="1:49" x14ac:dyDescent="0.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x14ac:dyDescent="0.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x14ac:dyDescent="0.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x14ac:dyDescent="0.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x14ac:dyDescent="0.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spans="1:49" x14ac:dyDescent="0.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x14ac:dyDescent="0.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spans="1:49" x14ac:dyDescent="0.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x14ac:dyDescent="0.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x14ac:dyDescent="0.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x14ac:dyDescent="0.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x14ac:dyDescent="0.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x14ac:dyDescent="0.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x14ac:dyDescent="0.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x14ac:dyDescent="0.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x14ac:dyDescent="0.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x14ac:dyDescent="0.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x14ac:dyDescent="0.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1:49" x14ac:dyDescent="0.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x14ac:dyDescent="0.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x14ac:dyDescent="0.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x14ac:dyDescent="0.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x14ac:dyDescent="0.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x14ac:dyDescent="0.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1:49" x14ac:dyDescent="0.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1:49" x14ac:dyDescent="0.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1:49" x14ac:dyDescent="0.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1:49" x14ac:dyDescent="0.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spans="1:49" x14ac:dyDescent="0.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spans="1:49" x14ac:dyDescent="0.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1:49" x14ac:dyDescent="0.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49" x14ac:dyDescent="0.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1:49" x14ac:dyDescent="0.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1:49" x14ac:dyDescent="0.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1:49" x14ac:dyDescent="0.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1:49" x14ac:dyDescent="0.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1:49" x14ac:dyDescent="0.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1:49" x14ac:dyDescent="0.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1:49" x14ac:dyDescent="0.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1:49" x14ac:dyDescent="0.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1:49" x14ac:dyDescent="0.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spans="1:49" x14ac:dyDescent="0.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spans="1:49" x14ac:dyDescent="0.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1:49" x14ac:dyDescent="0.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1:49" x14ac:dyDescent="0.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spans="1:49" x14ac:dyDescent="0.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spans="1:49" x14ac:dyDescent="0.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spans="1:49" x14ac:dyDescent="0.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1:49" x14ac:dyDescent="0.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row>
    <row r="68" spans="1:49" x14ac:dyDescent="0.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row>
    <row r="69" spans="1:49" x14ac:dyDescent="0.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row>
    <row r="70" spans="1:49" x14ac:dyDescent="0.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row>
    <row r="71" spans="1:49" x14ac:dyDescent="0.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row>
    <row r="72" spans="1:49" x14ac:dyDescent="0.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row>
    <row r="73" spans="1:49" x14ac:dyDescent="0.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row>
    <row r="74" spans="1:49" x14ac:dyDescent="0.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row>
    <row r="75" spans="1:49" x14ac:dyDescent="0.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row>
    <row r="76" spans="1:49" x14ac:dyDescent="0.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row>
    <row r="77" spans="1:49" x14ac:dyDescent="0.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row>
    <row r="78" spans="1:49" x14ac:dyDescent="0.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row>
  </sheetData>
  <sheetProtection algorithmName="SHA-512" hashValue="9f9s2FQPN5X/IqESeo+laMtIP/7duXsjfmtS19z+sxPFSY+zC2s0mx2eLb4gypkhi75TNwt/J3adKNPv59hSmg==" saltValue="MKJLT927jUx1U1PIWkCnTw==" spinCount="100000" sheet="1" objects="1" scenarios="1" selectLockedCells="1"/>
  <mergeCells count="3">
    <mergeCell ref="A1:N1"/>
    <mergeCell ref="B5:M11"/>
    <mergeCell ref="B13:M14"/>
  </mergeCells>
  <hyperlinks>
    <hyperlink ref="B13" r:id="rId1" xr:uid="{00000000-0004-0000-0700-000000000000}"/>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32</vt:i4>
      </vt:variant>
    </vt:vector>
  </HeadingPairs>
  <TitlesOfParts>
    <vt:vector size="41" baseType="lpstr">
      <vt:lpstr>Disclaimer</vt:lpstr>
      <vt:lpstr>Instructions</vt:lpstr>
      <vt:lpstr>User input</vt:lpstr>
      <vt:lpstr>Break even chart</vt:lpstr>
      <vt:lpstr>Price list</vt:lpstr>
      <vt:lpstr>Historical record</vt:lpstr>
      <vt:lpstr>Unit converter</vt:lpstr>
      <vt:lpstr>Acknowledgments</vt:lpstr>
      <vt:lpstr>Contact us</vt:lpstr>
      <vt:lpstr>Acknowledgements</vt:lpstr>
      <vt:lpstr>Agrochemical_costs</vt:lpstr>
      <vt:lpstr>Break_even_charts</vt:lpstr>
      <vt:lpstr>Bumble_bee_quadss</vt:lpstr>
      <vt:lpstr>contact_us</vt:lpstr>
      <vt:lpstr>Fertilizer_input</vt:lpstr>
      <vt:lpstr>Fertilizer_spreader_type</vt:lpstr>
      <vt:lpstr>Field_input_costs</vt:lpstr>
      <vt:lpstr>Fungicide_input</vt:lpstr>
      <vt:lpstr>Harvester_ownership</vt:lpstr>
      <vt:lpstr>Harvester_type</vt:lpstr>
      <vt:lpstr>Herbicide_input</vt:lpstr>
      <vt:lpstr>History</vt:lpstr>
      <vt:lpstr>Insecticide_input</vt:lpstr>
      <vt:lpstr>Instructions</vt:lpstr>
      <vt:lpstr>Number_of_applications</vt:lpstr>
      <vt:lpstr>Pollination_input</vt:lpstr>
      <vt:lpstr>Acknowledgments!Print_Area</vt:lpstr>
      <vt:lpstr>'Break even chart'!Print_Area</vt:lpstr>
      <vt:lpstr>'Contact us'!Print_Area</vt:lpstr>
      <vt:lpstr>Disclaimer!Print_Area</vt:lpstr>
      <vt:lpstr>Instructions!Print_Area</vt:lpstr>
      <vt:lpstr>'Price list'!Print_Area</vt:lpstr>
      <vt:lpstr>'Unit converter'!Print_Area</vt:lpstr>
      <vt:lpstr>'User input'!Print_Area</vt:lpstr>
      <vt:lpstr>Pruning_method</vt:lpstr>
      <vt:lpstr>Pruning_ownership</vt:lpstr>
      <vt:lpstr>Sprayer_type</vt:lpstr>
      <vt:lpstr>start</vt:lpstr>
      <vt:lpstr>Trucking_type</vt:lpstr>
      <vt:lpstr>Unit_converter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2017-04-03T16:25:01Z</cp:lastPrinted>
  <dcterms:created xsi:type="dcterms:W3CDTF">2017-02-24T15:14:31Z</dcterms:created>
  <dcterms:modified xsi:type="dcterms:W3CDTF">2021-11-15T14:42:41Z</dcterms:modified>
</cp:coreProperties>
</file>